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vvng.sharepoint.com/sites/CPS-2022/Gedeelde documenten/Kennisgevingen/"/>
    </mc:Choice>
  </mc:AlternateContent>
  <xr:revisionPtr revIDLastSave="841" documentId="8_{662E08B8-D75F-46C1-8477-7CAB07CF2C4F}" xr6:coauthVersionLast="47" xr6:coauthVersionMax="47" xr10:uidLastSave="{D51307AC-C0CB-48DC-88C0-F8FEE8E4D660}"/>
  <bookViews>
    <workbookView xWindow="-110" yWindow="-110" windowWidth="19420" windowHeight="11500" xr2:uid="{152E5361-8270-44ED-8915-DB150472FA56}"/>
  </bookViews>
  <sheets>
    <sheet name="Uitleg en disclaimer" sheetId="7" r:id="rId1"/>
    <sheet name="Annuiteit overzicht" sheetId="6" r:id="rId2"/>
    <sheet name="Lineair overzicht" sheetId="3" r:id="rId3"/>
    <sheet name="Annuiteit berekening" sheetId="2" r:id="rId4"/>
    <sheet name="Lineair berekening" sheetId="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6" l="1" a="1"/>
  <c r="D30" i="6" s="1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2" i="4"/>
  <c r="K3" i="4"/>
  <c r="L3" i="4" s="1"/>
  <c r="K4" i="4"/>
  <c r="K5" i="4"/>
  <c r="K6" i="4"/>
  <c r="K7" i="4"/>
  <c r="K8" i="4"/>
  <c r="L8" i="4" s="1"/>
  <c r="K9" i="4"/>
  <c r="L9" i="4" s="1"/>
  <c r="K10" i="4"/>
  <c r="L10" i="4" s="1"/>
  <c r="K11" i="4"/>
  <c r="L11" i="4" s="1"/>
  <c r="K12" i="4"/>
  <c r="L12" i="4" s="1"/>
  <c r="K13" i="4"/>
  <c r="L13" i="4" s="1"/>
  <c r="K14" i="4"/>
  <c r="L14" i="4" s="1"/>
  <c r="K15" i="4"/>
  <c r="L15" i="4" s="1"/>
  <c r="K16" i="4"/>
  <c r="L16" i="4" s="1"/>
  <c r="K17" i="4"/>
  <c r="L17" i="4" s="1"/>
  <c r="K18" i="4"/>
  <c r="K19" i="4"/>
  <c r="K20" i="4"/>
  <c r="K21" i="4"/>
  <c r="K22" i="4"/>
  <c r="L22" i="4" s="1"/>
  <c r="K23" i="4"/>
  <c r="L23" i="4" s="1"/>
  <c r="K24" i="4"/>
  <c r="L24" i="4" s="1"/>
  <c r="K25" i="4"/>
  <c r="L25" i="4" s="1"/>
  <c r="K26" i="4"/>
  <c r="L26" i="4" s="1"/>
  <c r="K27" i="4"/>
  <c r="L27" i="4" s="1"/>
  <c r="K28" i="4"/>
  <c r="L28" i="4" s="1"/>
  <c r="K29" i="4"/>
  <c r="L29" i="4" s="1"/>
  <c r="K30" i="4"/>
  <c r="L30" i="4" s="1"/>
  <c r="K31" i="4"/>
  <c r="L31" i="4" s="1"/>
  <c r="K2" i="4"/>
  <c r="L2" i="4" s="1"/>
  <c r="B12" i="3"/>
  <c r="B14" i="3"/>
  <c r="B13" i="3"/>
  <c r="K3" i="2"/>
  <c r="L3" i="2" s="1"/>
  <c r="K4" i="2"/>
  <c r="L4" i="2" s="1"/>
  <c r="K5" i="2"/>
  <c r="L5" i="2" s="1"/>
  <c r="K6" i="2"/>
  <c r="L6" i="2" s="1"/>
  <c r="K7" i="2"/>
  <c r="L7" i="2" s="1"/>
  <c r="K8" i="2"/>
  <c r="L8" i="2" s="1"/>
  <c r="K9" i="2"/>
  <c r="L9" i="2" s="1"/>
  <c r="K10" i="2"/>
  <c r="L10" i="2" s="1"/>
  <c r="K11" i="2"/>
  <c r="L11" i="2" s="1"/>
  <c r="K12" i="2"/>
  <c r="L12" i="2" s="1"/>
  <c r="K13" i="2"/>
  <c r="L13" i="2" s="1"/>
  <c r="K14" i="2"/>
  <c r="L14" i="2" s="1"/>
  <c r="K15" i="2"/>
  <c r="L15" i="2" s="1"/>
  <c r="K16" i="2"/>
  <c r="L16" i="2" s="1"/>
  <c r="K17" i="2"/>
  <c r="L17" i="2" s="1"/>
  <c r="K18" i="2"/>
  <c r="L18" i="2" s="1"/>
  <c r="K19" i="2"/>
  <c r="L19" i="2" s="1"/>
  <c r="K20" i="2"/>
  <c r="L20" i="2" s="1"/>
  <c r="K21" i="2"/>
  <c r="L21" i="2" s="1"/>
  <c r="K22" i="2"/>
  <c r="L22" i="2" s="1"/>
  <c r="K23" i="2"/>
  <c r="L23" i="2" s="1"/>
  <c r="K24" i="2"/>
  <c r="L24" i="2" s="1"/>
  <c r="K25" i="2"/>
  <c r="L25" i="2" s="1"/>
  <c r="K26" i="2"/>
  <c r="L26" i="2" s="1"/>
  <c r="K27" i="2"/>
  <c r="L27" i="2" s="1"/>
  <c r="K28" i="2"/>
  <c r="L28" i="2" s="1"/>
  <c r="K29" i="2"/>
  <c r="L29" i="2" s="1"/>
  <c r="K30" i="2"/>
  <c r="L30" i="2" s="1"/>
  <c r="K31" i="2"/>
  <c r="L31" i="2" s="1"/>
  <c r="K2" i="2"/>
  <c r="L2" i="2" s="1"/>
  <c r="B2" i="2"/>
  <c r="G2" i="2" s="1"/>
  <c r="B13" i="6"/>
  <c r="B12" i="6"/>
  <c r="L4" i="4"/>
  <c r="L5" i="4"/>
  <c r="L6" i="4"/>
  <c r="L7" i="4"/>
  <c r="L18" i="4"/>
  <c r="L19" i="4"/>
  <c r="L20" i="4"/>
  <c r="L21" i="4"/>
  <c r="D5" i="4"/>
  <c r="H5" i="4" s="1"/>
  <c r="D6" i="4"/>
  <c r="H6" i="4" s="1"/>
  <c r="D7" i="4"/>
  <c r="H7" i="4" s="1"/>
  <c r="D8" i="4"/>
  <c r="H8" i="4" s="1"/>
  <c r="D9" i="4"/>
  <c r="H9" i="4" s="1"/>
  <c r="D10" i="4"/>
  <c r="H10" i="4" s="1"/>
  <c r="D11" i="4"/>
  <c r="H11" i="4" s="1"/>
  <c r="D12" i="4"/>
  <c r="H12" i="4" s="1"/>
  <c r="D13" i="4"/>
  <c r="H13" i="4" s="1"/>
  <c r="D14" i="4"/>
  <c r="H14" i="4" s="1"/>
  <c r="D15" i="4"/>
  <c r="H15" i="4" s="1"/>
  <c r="D16" i="4"/>
  <c r="H16" i="4" s="1"/>
  <c r="D17" i="4"/>
  <c r="H17" i="4" s="1"/>
  <c r="D18" i="4"/>
  <c r="H18" i="4" s="1"/>
  <c r="D19" i="4"/>
  <c r="H19" i="4" s="1"/>
  <c r="D20" i="4"/>
  <c r="H20" i="4" s="1"/>
  <c r="D21" i="4"/>
  <c r="H21" i="4" s="1"/>
  <c r="D22" i="4"/>
  <c r="H22" i="4" s="1"/>
  <c r="D23" i="4"/>
  <c r="H23" i="4" s="1"/>
  <c r="D24" i="4"/>
  <c r="H24" i="4" s="1"/>
  <c r="D25" i="4"/>
  <c r="H25" i="4" s="1"/>
  <c r="D26" i="4"/>
  <c r="H26" i="4" s="1"/>
  <c r="D27" i="4"/>
  <c r="H27" i="4" s="1"/>
  <c r="D28" i="4"/>
  <c r="H28" i="4" s="1"/>
  <c r="D29" i="4"/>
  <c r="H29" i="4" s="1"/>
  <c r="D30" i="4"/>
  <c r="H30" i="4" s="1"/>
  <c r="D31" i="4"/>
  <c r="H31" i="4" s="1"/>
  <c r="D3" i="4"/>
  <c r="H3" i="4" s="1"/>
  <c r="D4" i="4"/>
  <c r="H4" i="4" s="1"/>
  <c r="D2" i="4"/>
  <c r="H2" i="4" s="1"/>
  <c r="B2" i="4"/>
  <c r="B16" i="6" l="1"/>
  <c r="B17" i="6"/>
  <c r="E22" i="2"/>
  <c r="E10" i="2"/>
  <c r="E9" i="2"/>
  <c r="E8" i="2"/>
  <c r="I28" i="2"/>
  <c r="I27" i="2"/>
  <c r="I26" i="2"/>
  <c r="I25" i="2"/>
  <c r="I13" i="2"/>
  <c r="I11" i="2"/>
  <c r="I14" i="2"/>
  <c r="I12" i="2"/>
  <c r="E24" i="2"/>
  <c r="E23" i="2"/>
  <c r="E21" i="2"/>
  <c r="E7" i="2"/>
  <c r="E20" i="2"/>
  <c r="E6" i="2"/>
  <c r="I24" i="2"/>
  <c r="I10" i="2"/>
  <c r="E19" i="2"/>
  <c r="E5" i="2"/>
  <c r="I23" i="2"/>
  <c r="I9" i="2"/>
  <c r="C2" i="2"/>
  <c r="E18" i="2"/>
  <c r="E4" i="2"/>
  <c r="I22" i="2"/>
  <c r="I8" i="2"/>
  <c r="E2" i="2"/>
  <c r="E17" i="2"/>
  <c r="E3" i="2"/>
  <c r="I21" i="2"/>
  <c r="I7" i="2"/>
  <c r="E30" i="2"/>
  <c r="E16" i="2"/>
  <c r="E31" i="2"/>
  <c r="I20" i="2"/>
  <c r="I6" i="2"/>
  <c r="E29" i="2"/>
  <c r="E15" i="2"/>
  <c r="I19" i="2"/>
  <c r="I5" i="2"/>
  <c r="E28" i="2"/>
  <c r="E14" i="2"/>
  <c r="I2" i="2"/>
  <c r="I18" i="2"/>
  <c r="I4" i="2"/>
  <c r="E27" i="2"/>
  <c r="I31" i="2"/>
  <c r="E26" i="2"/>
  <c r="E12" i="2"/>
  <c r="I30" i="2"/>
  <c r="I16" i="2"/>
  <c r="E13" i="2"/>
  <c r="I17" i="2"/>
  <c r="I3" i="2"/>
  <c r="E25" i="2"/>
  <c r="E11" i="2"/>
  <c r="I29" i="2"/>
  <c r="I15" i="2"/>
  <c r="J2" i="4"/>
  <c r="C2" i="4"/>
  <c r="F2" i="4"/>
  <c r="B3" i="4" s="1"/>
  <c r="N2" i="2"/>
  <c r="H2" i="2" l="1"/>
  <c r="J2" i="2" s="1"/>
  <c r="G3" i="2" s="1"/>
  <c r="J3" i="4"/>
  <c r="F3" i="4"/>
  <c r="B4" i="4" s="1"/>
  <c r="C3" i="4"/>
  <c r="I2" i="4"/>
  <c r="N2" i="4"/>
  <c r="M2" i="4"/>
  <c r="E2" i="4"/>
  <c r="M2" i="2"/>
  <c r="D2" i="2"/>
  <c r="O2" i="4" l="1"/>
  <c r="F2" i="2"/>
  <c r="O2" i="2"/>
  <c r="M3" i="4"/>
  <c r="E3" i="4"/>
  <c r="I3" i="4"/>
  <c r="N3" i="4"/>
  <c r="F4" i="4"/>
  <c r="B5" i="4" s="1"/>
  <c r="J4" i="4"/>
  <c r="C4" i="4"/>
  <c r="O3" i="4" l="1"/>
  <c r="B3" i="2"/>
  <c r="H3" i="2"/>
  <c r="J3" i="2" s="1"/>
  <c r="G4" i="2" s="1"/>
  <c r="N3" i="2"/>
  <c r="E4" i="4"/>
  <c r="M4" i="4"/>
  <c r="N4" i="4"/>
  <c r="O4" i="4" s="1"/>
  <c r="I4" i="4"/>
  <c r="J5" i="4"/>
  <c r="C5" i="4"/>
  <c r="F5" i="4"/>
  <c r="B6" i="4" s="1"/>
  <c r="C3" i="2" l="1"/>
  <c r="D3" i="2" s="1"/>
  <c r="F3" i="2" s="1"/>
  <c r="B4" i="2" s="1"/>
  <c r="C4" i="2" s="1"/>
  <c r="M4" i="2" s="1"/>
  <c r="N4" i="2"/>
  <c r="H4" i="2"/>
  <c r="J4" i="2" s="1"/>
  <c r="G5" i="2" s="1"/>
  <c r="C6" i="4"/>
  <c r="J6" i="4"/>
  <c r="F6" i="4"/>
  <c r="B7" i="4" s="1"/>
  <c r="E5" i="4"/>
  <c r="M5" i="4"/>
  <c r="I5" i="4"/>
  <c r="N5" i="4"/>
  <c r="O5" i="4" s="1"/>
  <c r="M3" i="2" l="1"/>
  <c r="O4" i="2"/>
  <c r="D4" i="2"/>
  <c r="F4" i="2" s="1"/>
  <c r="B5" i="2" s="1"/>
  <c r="C5" i="2" s="1"/>
  <c r="C7" i="4"/>
  <c r="J7" i="4"/>
  <c r="F7" i="4"/>
  <c r="B8" i="4" s="1"/>
  <c r="N6" i="4"/>
  <c r="I6" i="4"/>
  <c r="M6" i="4"/>
  <c r="E6" i="4"/>
  <c r="O3" i="2" l="1"/>
  <c r="O6" i="4"/>
  <c r="M5" i="2"/>
  <c r="D5" i="2"/>
  <c r="F5" i="2" s="1"/>
  <c r="B6" i="2" s="1"/>
  <c r="H5" i="2"/>
  <c r="J5" i="2" s="1"/>
  <c r="G6" i="2" s="1"/>
  <c r="N5" i="2"/>
  <c r="C8" i="4"/>
  <c r="B15" i="3" s="1"/>
  <c r="J8" i="4"/>
  <c r="B16" i="3"/>
  <c r="F8" i="4"/>
  <c r="B9" i="4" s="1"/>
  <c r="I7" i="4"/>
  <c r="N7" i="4"/>
  <c r="M7" i="4"/>
  <c r="E7" i="4"/>
  <c r="O7" i="4" l="1"/>
  <c r="C6" i="2"/>
  <c r="O5" i="2"/>
  <c r="C9" i="4"/>
  <c r="J9" i="4"/>
  <c r="F9" i="4"/>
  <c r="B10" i="4" s="1"/>
  <c r="I8" i="4"/>
  <c r="N8" i="4"/>
  <c r="M8" i="4"/>
  <c r="E8" i="4"/>
  <c r="D28" i="3" l="1" a="1"/>
  <c r="O8" i="4"/>
  <c r="D6" i="2"/>
  <c r="F6" i="2" s="1"/>
  <c r="B7" i="2" s="1"/>
  <c r="C7" i="2" s="1"/>
  <c r="M7" i="2" s="1"/>
  <c r="M6" i="2"/>
  <c r="N6" i="2"/>
  <c r="H6" i="2"/>
  <c r="J6" i="2" s="1"/>
  <c r="G7" i="2" s="1"/>
  <c r="B17" i="3"/>
  <c r="J10" i="4"/>
  <c r="F10" i="4"/>
  <c r="B11" i="4" s="1"/>
  <c r="C10" i="4"/>
  <c r="N9" i="4"/>
  <c r="I9" i="4"/>
  <c r="M9" i="4"/>
  <c r="E9" i="4"/>
  <c r="C12" i="3" l="1"/>
  <c r="D28" i="3"/>
  <c r="C14" i="3"/>
  <c r="C16" i="3"/>
  <c r="C13" i="3"/>
  <c r="C15" i="3"/>
  <c r="O9" i="4"/>
  <c r="H7" i="2"/>
  <c r="J7" i="2" s="1"/>
  <c r="G8" i="2" s="1"/>
  <c r="O6" i="2"/>
  <c r="N7" i="2"/>
  <c r="O7" i="2" s="1"/>
  <c r="M10" i="4"/>
  <c r="E10" i="4"/>
  <c r="J11" i="4"/>
  <c r="F11" i="4"/>
  <c r="B12" i="4" s="1"/>
  <c r="C11" i="4"/>
  <c r="I10" i="4"/>
  <c r="N10" i="4"/>
  <c r="D7" i="2"/>
  <c r="F7" i="2" s="1"/>
  <c r="B8" i="2" s="1"/>
  <c r="C8" i="2" s="1"/>
  <c r="C17" i="3" l="1"/>
  <c r="O10" i="4"/>
  <c r="H8" i="2"/>
  <c r="J8" i="2" s="1"/>
  <c r="G9" i="2" s="1"/>
  <c r="N8" i="2"/>
  <c r="M11" i="4"/>
  <c r="E11" i="4"/>
  <c r="C12" i="4"/>
  <c r="J12" i="4"/>
  <c r="F12" i="4"/>
  <c r="B13" i="4" s="1"/>
  <c r="N11" i="4"/>
  <c r="I11" i="4"/>
  <c r="M8" i="2"/>
  <c r="O11" i="4" l="1"/>
  <c r="O8" i="2"/>
  <c r="J13" i="4"/>
  <c r="F13" i="4"/>
  <c r="B14" i="4" s="1"/>
  <c r="C13" i="4"/>
  <c r="I12" i="4"/>
  <c r="N12" i="4"/>
  <c r="E12" i="4"/>
  <c r="M12" i="4"/>
  <c r="D8" i="2"/>
  <c r="O12" i="4" l="1"/>
  <c r="F8" i="2"/>
  <c r="B9" i="2" s="1"/>
  <c r="C9" i="2" s="1"/>
  <c r="M9" i="2" s="1"/>
  <c r="N9" i="2"/>
  <c r="H9" i="2"/>
  <c r="J9" i="2" s="1"/>
  <c r="G10" i="2" s="1"/>
  <c r="E13" i="4"/>
  <c r="M13" i="4"/>
  <c r="J14" i="4"/>
  <c r="F14" i="4"/>
  <c r="B15" i="4" s="1"/>
  <c r="C14" i="4"/>
  <c r="N13" i="4"/>
  <c r="I13" i="4"/>
  <c r="O13" i="4" l="1"/>
  <c r="O9" i="2"/>
  <c r="M14" i="4"/>
  <c r="E14" i="4"/>
  <c r="F15" i="4"/>
  <c r="B16" i="4" s="1"/>
  <c r="J15" i="4"/>
  <c r="C15" i="4"/>
  <c r="I14" i="4"/>
  <c r="N14" i="4"/>
  <c r="D9" i="2"/>
  <c r="O14" i="4" l="1"/>
  <c r="F9" i="2"/>
  <c r="B10" i="2" s="1"/>
  <c r="C10" i="2" s="1"/>
  <c r="H10" i="2"/>
  <c r="J10" i="2" s="1"/>
  <c r="G11" i="2" s="1"/>
  <c r="N10" i="2"/>
  <c r="E15" i="4"/>
  <c r="M15" i="4"/>
  <c r="F16" i="4"/>
  <c r="B17" i="4" s="1"/>
  <c r="J16" i="4"/>
  <c r="C16" i="4"/>
  <c r="N15" i="4"/>
  <c r="I15" i="4"/>
  <c r="O15" i="4" l="1"/>
  <c r="E16" i="4"/>
  <c r="M16" i="4"/>
  <c r="I16" i="4"/>
  <c r="N16" i="4"/>
  <c r="F17" i="4"/>
  <c r="B18" i="4" s="1"/>
  <c r="J17" i="4"/>
  <c r="C17" i="4"/>
  <c r="D10" i="2"/>
  <c r="M10" i="2"/>
  <c r="O10" i="2" s="1"/>
  <c r="O16" i="4" l="1"/>
  <c r="F10" i="2"/>
  <c r="B11" i="2" s="1"/>
  <c r="C11" i="2" s="1"/>
  <c r="E17" i="4"/>
  <c r="M17" i="4"/>
  <c r="I17" i="4"/>
  <c r="N17" i="4"/>
  <c r="F18" i="4"/>
  <c r="B19" i="4" s="1"/>
  <c r="J18" i="4"/>
  <c r="C18" i="4"/>
  <c r="O17" i="4" l="1"/>
  <c r="D11" i="2"/>
  <c r="M11" i="2"/>
  <c r="N11" i="2"/>
  <c r="H11" i="2"/>
  <c r="J11" i="2" s="1"/>
  <c r="G12" i="2" s="1"/>
  <c r="E18" i="4"/>
  <c r="M18" i="4"/>
  <c r="I18" i="4"/>
  <c r="N18" i="4"/>
  <c r="F19" i="4"/>
  <c r="B20" i="4" s="1"/>
  <c r="J19" i="4"/>
  <c r="C19" i="4"/>
  <c r="O18" i="4" l="1"/>
  <c r="F11" i="2"/>
  <c r="B12" i="2" s="1"/>
  <c r="C12" i="2" s="1"/>
  <c r="O11" i="2"/>
  <c r="N12" i="2"/>
  <c r="H12" i="2"/>
  <c r="J12" i="2" s="1"/>
  <c r="G13" i="2" s="1"/>
  <c r="E19" i="4"/>
  <c r="M19" i="4"/>
  <c r="I19" i="4"/>
  <c r="N19" i="4"/>
  <c r="F20" i="4"/>
  <c r="B21" i="4" s="1"/>
  <c r="J20" i="4"/>
  <c r="C20" i="4"/>
  <c r="M12" i="2" l="1"/>
  <c r="O12" i="2" s="1"/>
  <c r="O19" i="4"/>
  <c r="D12" i="2"/>
  <c r="F12" i="2" s="1"/>
  <c r="B13" i="2" s="1"/>
  <c r="C13" i="2" s="1"/>
  <c r="M13" i="2" s="1"/>
  <c r="H13" i="2"/>
  <c r="J13" i="2" s="1"/>
  <c r="G14" i="2" s="1"/>
  <c r="N13" i="2"/>
  <c r="E20" i="4"/>
  <c r="M20" i="4"/>
  <c r="N20" i="4"/>
  <c r="I20" i="4"/>
  <c r="F21" i="4"/>
  <c r="B22" i="4" s="1"/>
  <c r="J21" i="4"/>
  <c r="C21" i="4"/>
  <c r="D13" i="2" l="1"/>
  <c r="F13" i="2" s="1"/>
  <c r="B14" i="2" s="1"/>
  <c r="C14" i="2" s="1"/>
  <c r="D14" i="2" s="1"/>
  <c r="F14" i="2" s="1"/>
  <c r="B15" i="2" s="1"/>
  <c r="C15" i="2" s="1"/>
  <c r="D15" i="2" s="1"/>
  <c r="F15" i="2" s="1"/>
  <c r="B16" i="2" s="1"/>
  <c r="C16" i="2" s="1"/>
  <c r="O20" i="4"/>
  <c r="O13" i="2"/>
  <c r="N14" i="2"/>
  <c r="H14" i="2"/>
  <c r="J14" i="2" s="1"/>
  <c r="G15" i="2" s="1"/>
  <c r="E21" i="4"/>
  <c r="M21" i="4"/>
  <c r="I21" i="4"/>
  <c r="N21" i="4"/>
  <c r="F22" i="4"/>
  <c r="B23" i="4" s="1"/>
  <c r="J22" i="4"/>
  <c r="C22" i="4"/>
  <c r="M14" i="2" l="1"/>
  <c r="O14" i="2" s="1"/>
  <c r="O21" i="4"/>
  <c r="M16" i="2"/>
  <c r="H15" i="2"/>
  <c r="J15" i="2" s="1"/>
  <c r="G16" i="2" s="1"/>
  <c r="N15" i="2"/>
  <c r="M15" i="2"/>
  <c r="E22" i="4"/>
  <c r="M22" i="4"/>
  <c r="I22" i="4"/>
  <c r="N22" i="4"/>
  <c r="J23" i="4"/>
  <c r="C23" i="4"/>
  <c r="F23" i="4"/>
  <c r="B24" i="4" s="1"/>
  <c r="O22" i="4" l="1"/>
  <c r="D16" i="2"/>
  <c r="F16" i="2" s="1"/>
  <c r="B17" i="2" s="1"/>
  <c r="C17" i="2" s="1"/>
  <c r="O15" i="2"/>
  <c r="H16" i="2"/>
  <c r="J16" i="2" s="1"/>
  <c r="G17" i="2" s="1"/>
  <c r="N16" i="2"/>
  <c r="O16" i="2" s="1"/>
  <c r="J24" i="4"/>
  <c r="C24" i="4"/>
  <c r="F24" i="4"/>
  <c r="B25" i="4" s="1"/>
  <c r="E23" i="4"/>
  <c r="M23" i="4"/>
  <c r="N23" i="4"/>
  <c r="I23" i="4"/>
  <c r="O23" i="4" l="1"/>
  <c r="D17" i="2"/>
  <c r="F17" i="2" s="1"/>
  <c r="B18" i="2" s="1"/>
  <c r="C18" i="2" s="1"/>
  <c r="D18" i="2" s="1"/>
  <c r="F18" i="2" s="1"/>
  <c r="B19" i="2" s="1"/>
  <c r="C19" i="2" s="1"/>
  <c r="M17" i="2"/>
  <c r="H17" i="2"/>
  <c r="J17" i="2" s="1"/>
  <c r="G18" i="2" s="1"/>
  <c r="N17" i="2"/>
  <c r="J25" i="4"/>
  <c r="F25" i="4"/>
  <c r="B26" i="4" s="1"/>
  <c r="C25" i="4"/>
  <c r="E24" i="4"/>
  <c r="M24" i="4"/>
  <c r="I24" i="4"/>
  <c r="N24" i="4"/>
  <c r="O24" i="4" l="1"/>
  <c r="O17" i="2"/>
  <c r="D19" i="2"/>
  <c r="F19" i="2" s="1"/>
  <c r="B20" i="2" s="1"/>
  <c r="C20" i="2" s="1"/>
  <c r="H18" i="2"/>
  <c r="J18" i="2" s="1"/>
  <c r="G19" i="2" s="1"/>
  <c r="N18" i="2"/>
  <c r="M18" i="2"/>
  <c r="E25" i="4"/>
  <c r="M25" i="4"/>
  <c r="J26" i="4"/>
  <c r="C26" i="4"/>
  <c r="F26" i="4"/>
  <c r="B27" i="4" s="1"/>
  <c r="N25" i="4"/>
  <c r="O25" i="4" s="1"/>
  <c r="I25" i="4"/>
  <c r="M19" i="2" l="1"/>
  <c r="O18" i="2"/>
  <c r="M20" i="2"/>
  <c r="N19" i="2"/>
  <c r="H19" i="2"/>
  <c r="J19" i="2" s="1"/>
  <c r="G20" i="2" s="1"/>
  <c r="J27" i="4"/>
  <c r="C27" i="4"/>
  <c r="F27" i="4"/>
  <c r="B28" i="4" s="1"/>
  <c r="E26" i="4"/>
  <c r="M26" i="4"/>
  <c r="I26" i="4"/>
  <c r="N26" i="4"/>
  <c r="O26" i="4" l="1"/>
  <c r="O19" i="2"/>
  <c r="D20" i="2"/>
  <c r="F20" i="2" s="1"/>
  <c r="B21" i="2" s="1"/>
  <c r="C21" i="2" s="1"/>
  <c r="M21" i="2" s="1"/>
  <c r="H20" i="2"/>
  <c r="J20" i="2" s="1"/>
  <c r="G21" i="2" s="1"/>
  <c r="N20" i="2"/>
  <c r="O20" i="2" s="1"/>
  <c r="J28" i="4"/>
  <c r="C28" i="4"/>
  <c r="F28" i="4"/>
  <c r="B29" i="4" s="1"/>
  <c r="E27" i="4"/>
  <c r="M27" i="4"/>
  <c r="N27" i="4"/>
  <c r="O27" i="4" s="1"/>
  <c r="I27" i="4"/>
  <c r="D21" i="2" l="1"/>
  <c r="F21" i="2" s="1"/>
  <c r="B22" i="2" s="1"/>
  <c r="N21" i="2"/>
  <c r="O21" i="2" s="1"/>
  <c r="H21" i="2"/>
  <c r="J21" i="2" s="1"/>
  <c r="G22" i="2" s="1"/>
  <c r="J29" i="4"/>
  <c r="F29" i="4"/>
  <c r="B30" i="4" s="1"/>
  <c r="C29" i="4"/>
  <c r="E28" i="4"/>
  <c r="M28" i="4"/>
  <c r="N28" i="4"/>
  <c r="O28" i="4" s="1"/>
  <c r="I28" i="4"/>
  <c r="C22" i="2" l="1"/>
  <c r="M22" i="2" s="1"/>
  <c r="H22" i="2"/>
  <c r="J22" i="2" s="1"/>
  <c r="G23" i="2" s="1"/>
  <c r="N22" i="2"/>
  <c r="E29" i="4"/>
  <c r="M29" i="4"/>
  <c r="J30" i="4"/>
  <c r="C30" i="4"/>
  <c r="F30" i="4"/>
  <c r="B31" i="4" s="1"/>
  <c r="N29" i="4"/>
  <c r="O29" i="4" s="1"/>
  <c r="I29" i="4"/>
  <c r="D22" i="2" l="1"/>
  <c r="F22" i="2" s="1"/>
  <c r="B23" i="2" s="1"/>
  <c r="C23" i="2" s="1"/>
  <c r="D23" i="2" s="1"/>
  <c r="F23" i="2" s="1"/>
  <c r="B24" i="2" s="1"/>
  <c r="C24" i="2" s="1"/>
  <c r="M24" i="2" s="1"/>
  <c r="O22" i="2"/>
  <c r="H23" i="2"/>
  <c r="J23" i="2" s="1"/>
  <c r="G24" i="2" s="1"/>
  <c r="N23" i="2"/>
  <c r="J31" i="4"/>
  <c r="C31" i="4"/>
  <c r="F31" i="4"/>
  <c r="E30" i="4"/>
  <c r="M30" i="4"/>
  <c r="I30" i="4"/>
  <c r="N30" i="4"/>
  <c r="O30" i="4" s="1"/>
  <c r="M23" i="2" l="1"/>
  <c r="O23" i="2" s="1"/>
  <c r="D24" i="2"/>
  <c r="F24" i="2" s="1"/>
  <c r="B25" i="2" s="1"/>
  <c r="C25" i="2" s="1"/>
  <c r="D25" i="2" s="1"/>
  <c r="F25" i="2" s="1"/>
  <c r="B26" i="2" s="1"/>
  <c r="C26" i="2" s="1"/>
  <c r="N24" i="2"/>
  <c r="O24" i="2" s="1"/>
  <c r="H24" i="2"/>
  <c r="J24" i="2" s="1"/>
  <c r="G25" i="2" s="1"/>
  <c r="E31" i="4"/>
  <c r="M31" i="4"/>
  <c r="I31" i="4"/>
  <c r="N31" i="4"/>
  <c r="O31" i="4" s="1"/>
  <c r="M26" i="2" l="1"/>
  <c r="M25" i="2"/>
  <c r="N25" i="2"/>
  <c r="H25" i="2"/>
  <c r="J25" i="2" s="1"/>
  <c r="G26" i="2" s="1"/>
  <c r="O25" i="2" l="1"/>
  <c r="D26" i="2"/>
  <c r="F26" i="2" s="1"/>
  <c r="B27" i="2" s="1"/>
  <c r="C27" i="2" s="1"/>
  <c r="H26" i="2"/>
  <c r="J26" i="2" s="1"/>
  <c r="G27" i="2" s="1"/>
  <c r="N26" i="2"/>
  <c r="O26" i="2" s="1"/>
  <c r="M27" i="2" l="1"/>
  <c r="D27" i="2"/>
  <c r="F27" i="2" s="1"/>
  <c r="B28" i="2" s="1"/>
  <c r="C28" i="2" s="1"/>
  <c r="M28" i="2" s="1"/>
  <c r="N27" i="2"/>
  <c r="H27" i="2"/>
  <c r="J27" i="2" s="1"/>
  <c r="G28" i="2" s="1"/>
  <c r="O27" i="2" l="1"/>
  <c r="D28" i="2"/>
  <c r="F28" i="2" s="1"/>
  <c r="B29" i="2" s="1"/>
  <c r="N28" i="2"/>
  <c r="O28" i="2" s="1"/>
  <c r="H28" i="2"/>
  <c r="J28" i="2" s="1"/>
  <c r="G29" i="2" s="1"/>
  <c r="C29" i="2" l="1"/>
  <c r="M29" i="2" s="1"/>
  <c r="N29" i="2"/>
  <c r="H29" i="2"/>
  <c r="J29" i="2" s="1"/>
  <c r="G30" i="2" s="1"/>
  <c r="D29" i="2" l="1"/>
  <c r="F29" i="2" s="1"/>
  <c r="B30" i="2" s="1"/>
  <c r="C30" i="2" s="1"/>
  <c r="D30" i="2" s="1"/>
  <c r="F30" i="2" s="1"/>
  <c r="B31" i="2" s="1"/>
  <c r="O29" i="2"/>
  <c r="N30" i="2"/>
  <c r="H30" i="2"/>
  <c r="J30" i="2" s="1"/>
  <c r="G31" i="2" s="1"/>
  <c r="B19" i="6" s="1"/>
  <c r="M30" i="2" l="1"/>
  <c r="O30" i="2" s="1"/>
  <c r="C31" i="2"/>
  <c r="N31" i="2"/>
  <c r="H31" i="2"/>
  <c r="J31" i="2" s="1"/>
  <c r="D31" i="2" l="1"/>
  <c r="F31" i="2" s="1"/>
  <c r="B18" i="6"/>
  <c r="B20" i="6" s="1"/>
  <c r="M31" i="2"/>
  <c r="O31" i="2" s="1"/>
  <c r="C19" i="6" l="1"/>
  <c r="C18" i="6"/>
  <c r="C16" i="6"/>
  <c r="C20" i="6"/>
  <c r="C1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<sst xmlns="http://schemas.openxmlformats.org/spreadsheetml/2006/main" count="187" uniqueCount="89">
  <si>
    <t>Parameters</t>
  </si>
  <si>
    <t>Toelichting</t>
  </si>
  <si>
    <t>Hoofdsom van de lening</t>
  </si>
  <si>
    <t>Looptijd in jaren</t>
  </si>
  <si>
    <t>Gesubsidieerd rentepercentage</t>
  </si>
  <si>
    <t>Vul hier het afgesproken rentepercentage in</t>
  </si>
  <si>
    <t>Basisrente ECB-EU-NL</t>
  </si>
  <si>
    <t>Wisselend zie publicatie EU</t>
  </si>
  <si>
    <t>https://ec.europa.eu/competition/state_aid/legislation/reference_rates.html</t>
  </si>
  <si>
    <t>Standaard 100 basispunten</t>
  </si>
  <si>
    <t>Opslag Risicorating</t>
  </si>
  <si>
    <t>tabel Risicorating x Zekerheid</t>
  </si>
  <si>
    <t>Hoog</t>
  </si>
  <si>
    <t>Normaal</t>
  </si>
  <si>
    <t>Laag</t>
  </si>
  <si>
    <t>Zeer goed (AAA-A)</t>
  </si>
  <si>
    <t>Goed (BBB)</t>
  </si>
  <si>
    <t>Bevredigend (BB)</t>
  </si>
  <si>
    <t>Annuiteit jaarbedragen</t>
  </si>
  <si>
    <t>Zwak (B)</t>
  </si>
  <si>
    <t>Gesubsidieerde aflossing plus rente per jaar</t>
  </si>
  <si>
    <t>Slecht/Financiële moeilijkheden (CCC en lager)</t>
  </si>
  <si>
    <t>Marktconforme aflossing en rente per jaar</t>
  </si>
  <si>
    <t>Kan niet worden bepaald</t>
  </si>
  <si>
    <t>Annuiteit</t>
  </si>
  <si>
    <t>Formule</t>
  </si>
  <si>
    <t>Tabel</t>
  </si>
  <si>
    <t>Ter controle: als het goed is zijn de met een formule berekende bedragen gelijk aan de som van de bedragen die je kunt aflezen uit de tabellen in de volgende tabbladen.</t>
  </si>
  <si>
    <t>Gesubsidieerde rentesom</t>
  </si>
  <si>
    <t>Marktconforme rentesom</t>
  </si>
  <si>
    <t>Contante waarde gesubsidieerde rentesom</t>
  </si>
  <si>
    <t>Contante waarde marktconforme rentesom</t>
  </si>
  <si>
    <t>Totaal voordeel contant (BSE)</t>
  </si>
  <si>
    <t>Lineair</t>
  </si>
  <si>
    <t>Jaar</t>
  </si>
  <si>
    <t>Schuld begin</t>
  </si>
  <si>
    <t>Rente</t>
  </si>
  <si>
    <t>Aflossing</t>
  </si>
  <si>
    <t>Betaling</t>
  </si>
  <si>
    <t>Schuld1</t>
  </si>
  <si>
    <t>Marktrente</t>
  </si>
  <si>
    <t>Aflossing2</t>
  </si>
  <si>
    <t>Betaling2</t>
  </si>
  <si>
    <t>Schuld2</t>
  </si>
  <si>
    <t>Disconto</t>
  </si>
  <si>
    <t>Factor</t>
  </si>
  <si>
    <t>CWR1</t>
  </si>
  <si>
    <t>CWR2</t>
  </si>
  <si>
    <t xml:space="preserve">Voordeel rente </t>
  </si>
  <si>
    <t>Disconto opslag</t>
  </si>
  <si>
    <t>Vul het bedrag van de lening in.</t>
  </si>
  <si>
    <t>Aflossing1</t>
  </si>
  <si>
    <t>Betaling1</t>
  </si>
  <si>
    <t>Kolommen</t>
  </si>
  <si>
    <t>gesubsidieerd rentebedrag per jaar</t>
  </si>
  <si>
    <t>gesubsidieerde aflossing per jaar</t>
  </si>
  <si>
    <t>annuitair jaarbedrag</t>
  </si>
  <si>
    <t>restschuld gesubsidieerde lening</t>
  </si>
  <si>
    <t>marktconform rentebedrag per jaar</t>
  </si>
  <si>
    <t>marktconform aflossing per jaar</t>
  </si>
  <si>
    <t>restschuld marktconforme lening</t>
  </si>
  <si>
    <t>discontopercentage per jaar</t>
  </si>
  <si>
    <t>EU rentepercentages link:</t>
  </si>
  <si>
    <t>discontopercentage</t>
  </si>
  <si>
    <t>Contant voordeel</t>
  </si>
  <si>
    <t>contante waarde gesubsidieerde rente p jaar</t>
  </si>
  <si>
    <t>contante waarde marktconforme rente p jaar</t>
  </si>
  <si>
    <t>verschil tussen gesubsidieerde rente en marktconforme rente per jaar</t>
  </si>
  <si>
    <t>Aflezen uit onderstaande tabel Risicorating x Zekerheid</t>
  </si>
  <si>
    <t>Loopjaren van de lening</t>
  </si>
  <si>
    <t>Ter controle: als het goed is zijn de met een formule berekende bedragen gelijk aan de som van de bedragen die je kunt aflezen uit de kolommen van de onderstaande tabel</t>
  </si>
  <si>
    <t>= som kolom F Voordeel rente</t>
  </si>
  <si>
    <t>= som kolom J Marktrente</t>
  </si>
  <si>
    <t>= som kolom P contante waarde gesubsidieerde rente per jaar</t>
  </si>
  <si>
    <t>= som kolom Q contante waarde marktconforme rente per jaar</t>
  </si>
  <si>
    <t>= som kolom R dit is het contante voordeel dat de ontvanger krijgt, verdisconteerd naar de huidige dagwaarde</t>
  </si>
  <si>
    <t>De berekening gaat uit van rentebetaling aan het eind van elk jaar</t>
  </si>
  <si>
    <t>Lineaire lening</t>
  </si>
  <si>
    <t>Annuïtaire lening</t>
  </si>
  <si>
    <t>Deze excel in opgesteld door KED, Kenniscentrum Europa Decentraal</t>
  </si>
  <si>
    <t xml:space="preserve">Website: </t>
  </si>
  <si>
    <t>https://europadecentraal.nl/staatssteun-calculator/</t>
  </si>
  <si>
    <t>Deze excel is bedoeld als educatieve tool voor het berekenen van het Bruto Subsidie Equivalent van leningen.</t>
  </si>
  <si>
    <t xml:space="preserve">Deze excel kan door de gebruiker worden ingevuld en aangepast naar wens </t>
  </si>
  <si>
    <t>Medewerkers van decentrale overheden kunnen desgewenst terecht bij de helpdesk van KED</t>
  </si>
  <si>
    <t>Jaarlijkse aflossing</t>
  </si>
  <si>
    <t>Aantal termijnen</t>
  </si>
  <si>
    <t>Disclaimer:</t>
  </si>
  <si>
    <t>Kenniscentrum Europa Decentraal kan op geen enkele wijze aansprakelijk gesteld worden voor de juistheid en het juiste gebruik van deze rekentool, noch voor enige vorm van schade daaruit voortvloeiend.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</si>
</sst>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&quot;€&quot;\ #,##0.00"/>
  </numFmts>
  <fonts count="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theme="9"/>
      <name val="Arial"/>
      <family val="2"/>
    </font>
    <font>
      <sz val="10"/>
      <color rgb="FF00B050"/>
      <name val="Arial"/>
      <family val="2"/>
    </font>
    <font>
      <b/>
      <sz val="10"/>
      <color rgb="FF00B05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95">
    <xf numFmtId="0" fontId="0" fillId="0" borderId="0" xfId="0"/>
    <xf numFmtId="8" fontId="0" fillId="0" borderId="0" xfId="0" applyNumberFormat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44" fontId="2" fillId="0" borderId="0" xfId="1" applyFont="1" applyAlignment="1">
      <alignment horizontal="center" vertical="center" wrapText="1"/>
    </xf>
    <xf numFmtId="44" fontId="0" fillId="0" borderId="0" xfId="1" applyFont="1" applyAlignment="1">
      <alignment vertical="center" wrapText="1"/>
    </xf>
    <xf numFmtId="44" fontId="0" fillId="0" borderId="0" xfId="1" applyFont="1"/>
    <xf numFmtId="8" fontId="0" fillId="0" borderId="0" xfId="1" applyNumberFormat="1" applyFont="1" applyAlignment="1">
      <alignment vertical="center" wrapText="1"/>
    </xf>
    <xf numFmtId="0" fontId="2" fillId="0" borderId="0" xfId="0" applyFont="1"/>
    <xf numFmtId="10" fontId="0" fillId="0" borderId="0" xfId="0" applyNumberFormat="1"/>
    <xf numFmtId="164" fontId="0" fillId="0" borderId="0" xfId="1" applyNumberFormat="1" applyFont="1" applyAlignment="1">
      <alignment vertical="center" wrapText="1"/>
    </xf>
    <xf numFmtId="44" fontId="0" fillId="0" borderId="0" xfId="0" applyNumberFormat="1"/>
    <xf numFmtId="164" fontId="0" fillId="0" borderId="0" xfId="0" applyNumberFormat="1"/>
    <xf numFmtId="0" fontId="2" fillId="0" borderId="0" xfId="0" applyFont="1" applyAlignment="1">
      <alignment horizontal="center" wrapText="1"/>
    </xf>
    <xf numFmtId="44" fontId="2" fillId="0" borderId="0" xfId="1" applyFont="1" applyAlignment="1">
      <alignment horizontal="center" wrapText="1"/>
    </xf>
    <xf numFmtId="0" fontId="3" fillId="0" borderId="0" xfId="3"/>
    <xf numFmtId="0" fontId="2" fillId="2" borderId="0" xfId="0" applyFont="1" applyFill="1"/>
    <xf numFmtId="0" fontId="0" fillId="2" borderId="0" xfId="0" applyFill="1"/>
    <xf numFmtId="0" fontId="5" fillId="2" borderId="0" xfId="0" applyFont="1" applyFill="1"/>
    <xf numFmtId="10" fontId="0" fillId="2" borderId="0" xfId="2" applyNumberFormat="1" applyFont="1" applyFill="1" applyBorder="1"/>
    <xf numFmtId="8" fontId="0" fillId="2" borderId="0" xfId="0" applyNumberFormat="1" applyFill="1"/>
    <xf numFmtId="0" fontId="4" fillId="2" borderId="0" xfId="0" applyFont="1" applyFill="1" applyAlignment="1">
      <alignment horizontal="center" vertical="top" wrapText="1"/>
    </xf>
    <xf numFmtId="8" fontId="5" fillId="2" borderId="0" xfId="0" applyNumberFormat="1" applyFont="1" applyFill="1"/>
    <xf numFmtId="44" fontId="5" fillId="2" borderId="0" xfId="1" applyFont="1" applyFill="1" applyBorder="1"/>
    <xf numFmtId="44" fontId="0" fillId="2" borderId="0" xfId="1" applyFont="1" applyFill="1"/>
    <xf numFmtId="10" fontId="0" fillId="2" borderId="0" xfId="2" applyNumberFormat="1" applyFont="1" applyFill="1"/>
    <xf numFmtId="0" fontId="6" fillId="3" borderId="0" xfId="0" applyFont="1" applyFill="1" applyAlignment="1">
      <alignment horizontal="left"/>
    </xf>
    <xf numFmtId="0" fontId="2" fillId="3" borderId="0" xfId="0" applyFont="1" applyFill="1"/>
    <xf numFmtId="0" fontId="5" fillId="3" borderId="0" xfId="0" applyFont="1" applyFill="1" applyAlignment="1">
      <alignment horizontal="left"/>
    </xf>
    <xf numFmtId="0" fontId="0" fillId="3" borderId="0" xfId="0" applyFill="1" applyAlignment="1">
      <alignment horizontal="left" wrapText="1"/>
    </xf>
    <xf numFmtId="0" fontId="1" fillId="3" borderId="0" xfId="1" applyNumberFormat="1" applyFont="1" applyFill="1" applyAlignment="1">
      <alignment horizontal="left" wrapText="1"/>
    </xf>
    <xf numFmtId="0" fontId="0" fillId="3" borderId="0" xfId="0" applyFill="1" applyAlignment="1">
      <alignment horizontal="left"/>
    </xf>
    <xf numFmtId="0" fontId="0" fillId="3" borderId="0" xfId="0" applyFill="1"/>
    <xf numFmtId="0" fontId="2" fillId="3" borderId="1" xfId="0" applyFont="1" applyFill="1" applyBorder="1" applyAlignment="1">
      <alignment horizontal="right"/>
    </xf>
    <xf numFmtId="0" fontId="2" fillId="3" borderId="2" xfId="0" applyFont="1" applyFill="1" applyBorder="1"/>
    <xf numFmtId="0" fontId="2" fillId="3" borderId="3" xfId="0" applyFont="1" applyFill="1" applyBorder="1"/>
    <xf numFmtId="0" fontId="0" fillId="3" borderId="4" xfId="0" applyFill="1" applyBorder="1"/>
    <xf numFmtId="44" fontId="0" fillId="3" borderId="0" xfId="1" applyFont="1" applyFill="1" applyBorder="1"/>
    <xf numFmtId="10" fontId="0" fillId="3" borderId="0" xfId="2" applyNumberFormat="1" applyFont="1" applyFill="1" applyBorder="1"/>
    <xf numFmtId="44" fontId="0" fillId="3" borderId="5" xfId="1" applyFont="1" applyFill="1" applyBorder="1"/>
    <xf numFmtId="0" fontId="0" fillId="3" borderId="6" xfId="0" applyFill="1" applyBorder="1"/>
    <xf numFmtId="44" fontId="0" fillId="3" borderId="7" xfId="1" applyFont="1" applyFill="1" applyBorder="1"/>
    <xf numFmtId="10" fontId="0" fillId="3" borderId="7" xfId="2" applyNumberFormat="1" applyFont="1" applyFill="1" applyBorder="1"/>
    <xf numFmtId="0" fontId="2" fillId="3" borderId="1" xfId="0" applyFont="1" applyFill="1" applyBorder="1"/>
    <xf numFmtId="10" fontId="0" fillId="3" borderId="0" xfId="0" applyNumberFormat="1" applyFill="1"/>
    <xf numFmtId="9" fontId="0" fillId="3" borderId="5" xfId="0" applyNumberFormat="1" applyFill="1" applyBorder="1"/>
    <xf numFmtId="9" fontId="0" fillId="3" borderId="0" xfId="0" applyNumberFormat="1" applyFill="1"/>
    <xf numFmtId="10" fontId="0" fillId="3" borderId="5" xfId="0" applyNumberFormat="1" applyFill="1" applyBorder="1"/>
    <xf numFmtId="9" fontId="0" fillId="3" borderId="7" xfId="0" applyNumberFormat="1" applyFill="1" applyBorder="1"/>
    <xf numFmtId="10" fontId="0" fillId="3" borderId="7" xfId="0" applyNumberFormat="1" applyFill="1" applyBorder="1"/>
    <xf numFmtId="9" fontId="0" fillId="3" borderId="8" xfId="0" applyNumberFormat="1" applyFill="1" applyBorder="1"/>
    <xf numFmtId="44" fontId="0" fillId="3" borderId="9" xfId="1" applyFont="1" applyFill="1" applyBorder="1"/>
    <xf numFmtId="0" fontId="0" fillId="3" borderId="10" xfId="0" applyFill="1" applyBorder="1"/>
    <xf numFmtId="10" fontId="0" fillId="3" borderId="10" xfId="2" applyNumberFormat="1" applyFont="1" applyFill="1" applyBorder="1"/>
    <xf numFmtId="10" fontId="0" fillId="3" borderId="10" xfId="0" applyNumberFormat="1" applyFill="1" applyBorder="1"/>
    <xf numFmtId="10" fontId="0" fillId="3" borderId="11" xfId="2" applyNumberFormat="1" applyFont="1" applyFill="1" applyBorder="1"/>
    <xf numFmtId="0" fontId="5" fillId="3" borderId="0" xfId="0" applyFont="1" applyFill="1"/>
    <xf numFmtId="8" fontId="0" fillId="3" borderId="9" xfId="0" applyNumberFormat="1" applyFill="1" applyBorder="1"/>
    <xf numFmtId="44" fontId="0" fillId="3" borderId="3" xfId="1" applyFont="1" applyFill="1" applyBorder="1"/>
    <xf numFmtId="8" fontId="0" fillId="3" borderId="10" xfId="0" applyNumberFormat="1" applyFill="1" applyBorder="1"/>
    <xf numFmtId="8" fontId="5" fillId="3" borderId="11" xfId="0" applyNumberFormat="1" applyFont="1" applyFill="1" applyBorder="1"/>
    <xf numFmtId="44" fontId="5" fillId="3" borderId="8" xfId="1" applyFont="1" applyFill="1" applyBorder="1"/>
    <xf numFmtId="0" fontId="7" fillId="2" borderId="0" xfId="0" applyFont="1" applyFill="1"/>
    <xf numFmtId="0" fontId="6" fillId="3" borderId="0" xfId="0" applyFont="1" applyFill="1"/>
    <xf numFmtId="0" fontId="5" fillId="3" borderId="0" xfId="0" applyFont="1" applyFill="1" applyAlignment="1">
      <alignment horizontal="left" vertical="top"/>
    </xf>
    <xf numFmtId="0" fontId="4" fillId="3" borderId="0" xfId="0" applyFont="1" applyFill="1" applyAlignment="1">
      <alignment horizontal="center" vertical="top" wrapText="1"/>
    </xf>
    <xf numFmtId="0" fontId="5" fillId="3" borderId="0" xfId="0" quotePrefix="1" applyFont="1" applyFill="1" applyAlignment="1">
      <alignment horizontal="left" vertical="top"/>
    </xf>
    <xf numFmtId="0" fontId="5" fillId="3" borderId="0" xfId="0" quotePrefix="1" applyFont="1" applyFill="1"/>
    <xf numFmtId="0" fontId="3" fillId="3" borderId="0" xfId="3" applyFill="1"/>
    <xf numFmtId="0" fontId="0" fillId="4" borderId="0" xfId="0" applyFill="1"/>
    <xf numFmtId="0" fontId="2" fillId="4" borderId="0" xfId="0" applyFont="1" applyFill="1"/>
    <xf numFmtId="0" fontId="5" fillId="4" borderId="0" xfId="0" applyFont="1" applyFill="1"/>
    <xf numFmtId="10" fontId="0" fillId="4" borderId="0" xfId="2" applyNumberFormat="1" applyFont="1" applyFill="1" applyBorder="1"/>
    <xf numFmtId="8" fontId="0" fillId="4" borderId="0" xfId="0" applyNumberFormat="1" applyFill="1"/>
    <xf numFmtId="0" fontId="4" fillId="4" borderId="0" xfId="0" applyFont="1" applyFill="1" applyAlignment="1">
      <alignment horizontal="center" vertical="top" wrapText="1"/>
    </xf>
    <xf numFmtId="8" fontId="5" fillId="4" borderId="0" xfId="0" applyNumberFormat="1" applyFont="1" applyFill="1"/>
    <xf numFmtId="44" fontId="5" fillId="4" borderId="0" xfId="1" applyFont="1" applyFill="1" applyBorder="1"/>
    <xf numFmtId="0" fontId="5" fillId="4" borderId="0" xfId="0" applyFont="1" applyFill="1" applyAlignment="1">
      <alignment horizontal="left"/>
    </xf>
    <xf numFmtId="44" fontId="0" fillId="4" borderId="0" xfId="1" applyFont="1" applyFill="1"/>
    <xf numFmtId="10" fontId="0" fillId="4" borderId="0" xfId="2" applyNumberFormat="1" applyFont="1" applyFill="1"/>
    <xf numFmtId="44" fontId="5" fillId="4" borderId="0" xfId="1" applyFont="1" applyFill="1"/>
    <xf numFmtId="10" fontId="0" fillId="4" borderId="0" xfId="1" applyNumberFormat="1" applyFont="1" applyFill="1"/>
    <xf numFmtId="8" fontId="0" fillId="3" borderId="11" xfId="0" applyNumberFormat="1" applyFill="1" applyBorder="1"/>
    <xf numFmtId="0" fontId="6" fillId="3" borderId="3" xfId="0" applyFont="1" applyFill="1" applyBorder="1"/>
    <xf numFmtId="44" fontId="5" fillId="3" borderId="5" xfId="1" applyFont="1" applyFill="1" applyBorder="1"/>
    <xf numFmtId="0" fontId="5" fillId="3" borderId="0" xfId="0" applyFont="1" applyFill="1" applyAlignment="1">
      <alignment horizontal="left" vertical="top" wrapText="1"/>
    </xf>
    <xf numFmtId="8" fontId="0" fillId="3" borderId="1" xfId="0" applyNumberFormat="1" applyFill="1" applyBorder="1"/>
    <xf numFmtId="8" fontId="0" fillId="3" borderId="4" xfId="0" applyNumberFormat="1" applyFill="1" applyBorder="1"/>
    <xf numFmtId="8" fontId="5" fillId="3" borderId="6" xfId="0" applyNumberFormat="1" applyFont="1" applyFill="1" applyBorder="1"/>
    <xf numFmtId="44" fontId="2" fillId="0" borderId="0" xfId="1" applyFont="1"/>
    <xf numFmtId="44" fontId="2" fillId="4" borderId="0" xfId="1" applyFont="1" applyFill="1"/>
    <xf numFmtId="9" fontId="0" fillId="4" borderId="0" xfId="2" applyFont="1" applyFill="1"/>
    <xf numFmtId="10" fontId="2" fillId="0" borderId="0" xfId="2" applyNumberFormat="1" applyFont="1"/>
    <xf numFmtId="10" fontId="0" fillId="0" borderId="0" xfId="2" applyNumberFormat="1" applyFont="1"/>
    <xf numFmtId="0" fontId="5" fillId="3" borderId="0" xfId="0" applyFont="1" applyFill="1" applyAlignment="1">
      <alignment horizontal="left" wrapText="1"/>
    </xf>
  </cellXfs>
  <cellStyles count="4">
    <cellStyle name="Hyperlink" xfId="3" builtinId="8"/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europadecentraal.nl/staatssteun-calculator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c.europa.eu/competition/state_aid/legislation/reference_rates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c.europa.eu/competition/state_aid/legislation/reference_rate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7869E-1DDC-4B27-A129-5DA8C0CE4916}">
  <dimension ref="A2:B8"/>
  <sheetViews>
    <sheetView tabSelected="1" workbookViewId="0">
      <selection activeCell="A8" sqref="A8"/>
    </sheetView>
  </sheetViews>
  <sheetFormatPr defaultRowHeight="12.5" x14ac:dyDescent="0.25"/>
  <cols>
    <col min="1" max="1" width="10.36328125" customWidth="1"/>
  </cols>
  <sheetData>
    <row r="2" spans="1:2" x14ac:dyDescent="0.25">
      <c r="A2" t="s">
        <v>79</v>
      </c>
    </row>
    <row r="3" spans="1:2" x14ac:dyDescent="0.25">
      <c r="A3" t="s">
        <v>80</v>
      </c>
      <c r="B3" s="15" t="s">
        <v>81</v>
      </c>
    </row>
    <row r="4" spans="1:2" x14ac:dyDescent="0.25">
      <c r="A4" t="s">
        <v>82</v>
      </c>
    </row>
    <row r="5" spans="1:2" x14ac:dyDescent="0.25">
      <c r="A5" t="s">
        <v>83</v>
      </c>
    </row>
    <row r="6" spans="1:2" ht="13" x14ac:dyDescent="0.3">
      <c r="A6" s="8" t="s">
        <v>87</v>
      </c>
    </row>
    <row r="7" spans="1:2" x14ac:dyDescent="0.25">
      <c r="A7" t="s">
        <v>88</v>
      </c>
    </row>
    <row r="8" spans="1:2" x14ac:dyDescent="0.25">
      <c r="A8" t="s">
        <v>84</v>
      </c>
    </row>
  </sheetData>
  <hyperlinks>
    <hyperlink ref="B3" r:id="rId1" xr:uid="{95389015-11C4-42F8-94D4-70A7DDA1617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26D08-DBFC-4506-A7E6-9CDA73F29F75}">
  <sheetPr>
    <pageSetUpPr autoPageBreaks="0"/>
  </sheetPr>
  <dimension ref="A1:U63"/>
  <sheetViews>
    <sheetView showGridLines="0" topLeftCell="A4" zoomScale="96" zoomScaleNormal="96" workbookViewId="0">
      <selection activeCell="D31" sqref="D31"/>
    </sheetView>
  </sheetViews>
  <sheetFormatPr defaultRowHeight="12.5" x14ac:dyDescent="0.25"/>
  <cols>
    <col min="1" max="1" width="36.7265625" style="69" bestFit="1" customWidth="1"/>
    <col min="2" max="2" width="15.08984375" style="69" customWidth="1"/>
    <col min="3" max="3" width="13.36328125" style="69" bestFit="1" customWidth="1"/>
    <col min="4" max="4" width="13.1796875" style="69" customWidth="1"/>
    <col min="5" max="5" width="17" style="69" customWidth="1"/>
    <col min="6" max="6" width="14.08984375" style="69" bestFit="1" customWidth="1"/>
    <col min="7" max="8" width="11.54296875" style="69" bestFit="1" customWidth="1"/>
    <col min="9" max="9" width="12.54296875" style="69" bestFit="1" customWidth="1"/>
    <col min="10" max="12" width="11.54296875" style="69" bestFit="1" customWidth="1"/>
    <col min="13" max="13" width="12.54296875" style="69" bestFit="1" customWidth="1"/>
    <col min="14" max="15" width="8.81640625" style="69" bestFit="1" customWidth="1"/>
    <col min="16" max="17" width="11.54296875" style="69" bestFit="1" customWidth="1"/>
    <col min="18" max="18" width="16.6328125" style="71" bestFit="1" customWidth="1"/>
    <col min="19" max="19" width="11.7265625" style="69" bestFit="1" customWidth="1"/>
    <col min="20" max="20" width="11.7265625" style="78" bestFit="1" customWidth="1"/>
    <col min="21" max="21" width="10.7265625" style="78" bestFit="1" customWidth="1"/>
    <col min="22" max="16384" width="8.7265625" style="69"/>
  </cols>
  <sheetData>
    <row r="1" spans="1:11" ht="13" x14ac:dyDescent="0.3">
      <c r="B1" s="70" t="s">
        <v>78</v>
      </c>
    </row>
    <row r="2" spans="1:11" ht="13.5" thickBot="1" x14ac:dyDescent="0.35">
      <c r="A2" s="70" t="s">
        <v>0</v>
      </c>
      <c r="E2" s="63" t="s">
        <v>1</v>
      </c>
      <c r="F2" s="32"/>
      <c r="G2" s="32"/>
      <c r="H2" s="32"/>
      <c r="I2" s="32"/>
      <c r="J2" s="32"/>
      <c r="K2" s="32"/>
    </row>
    <row r="3" spans="1:11" x14ac:dyDescent="0.25">
      <c r="A3" s="69" t="s">
        <v>2</v>
      </c>
      <c r="B3" s="51">
        <v>450000</v>
      </c>
      <c r="E3" s="56" t="s">
        <v>50</v>
      </c>
      <c r="F3" s="32"/>
      <c r="G3" s="32"/>
      <c r="H3" s="32"/>
      <c r="I3" s="32"/>
      <c r="J3" s="32"/>
      <c r="K3" s="32"/>
    </row>
    <row r="4" spans="1:11" x14ac:dyDescent="0.25">
      <c r="A4" s="69" t="s">
        <v>3</v>
      </c>
      <c r="B4" s="52">
        <v>7</v>
      </c>
      <c r="E4" s="56" t="s">
        <v>86</v>
      </c>
      <c r="F4" s="32"/>
      <c r="G4" s="32"/>
      <c r="H4" s="32"/>
      <c r="I4" s="32"/>
      <c r="J4" s="32"/>
      <c r="K4" s="32"/>
    </row>
    <row r="5" spans="1:11" x14ac:dyDescent="0.25">
      <c r="A5" s="69" t="s">
        <v>4</v>
      </c>
      <c r="B5" s="53">
        <v>0.02</v>
      </c>
      <c r="C5" s="91"/>
      <c r="E5" s="56" t="s">
        <v>5</v>
      </c>
      <c r="F5" s="32"/>
      <c r="G5" s="32"/>
      <c r="H5" s="32"/>
      <c r="I5" s="32"/>
      <c r="J5" s="32"/>
      <c r="K5" s="32"/>
    </row>
    <row r="6" spans="1:11" x14ac:dyDescent="0.25">
      <c r="A6" s="69" t="s">
        <v>6</v>
      </c>
      <c r="B6" s="53">
        <v>2.2100000000000002E-2</v>
      </c>
      <c r="E6" s="56" t="s">
        <v>7</v>
      </c>
      <c r="F6" s="32"/>
      <c r="G6" s="32"/>
      <c r="H6" s="32"/>
      <c r="I6" s="32"/>
      <c r="J6" s="32"/>
      <c r="K6" s="32"/>
    </row>
    <row r="7" spans="1:11" x14ac:dyDescent="0.25">
      <c r="A7" s="69" t="s">
        <v>10</v>
      </c>
      <c r="B7" s="54">
        <v>2.1999999999999999E-2</v>
      </c>
      <c r="E7" s="56" t="s">
        <v>68</v>
      </c>
      <c r="F7" s="32"/>
      <c r="G7" s="32"/>
      <c r="H7" s="32"/>
      <c r="I7" s="32"/>
      <c r="J7" s="32"/>
      <c r="K7" s="32"/>
    </row>
    <row r="8" spans="1:11" ht="13" thickBot="1" x14ac:dyDescent="0.3">
      <c r="A8" s="69" t="s">
        <v>49</v>
      </c>
      <c r="B8" s="55">
        <v>0.01</v>
      </c>
      <c r="E8" s="56" t="s">
        <v>9</v>
      </c>
      <c r="F8" s="32"/>
      <c r="G8" s="32"/>
      <c r="H8" s="32"/>
      <c r="I8" s="32"/>
      <c r="J8" s="32"/>
      <c r="K8" s="32"/>
    </row>
    <row r="9" spans="1:11" x14ac:dyDescent="0.25">
      <c r="B9" s="72"/>
      <c r="E9" s="56" t="s">
        <v>62</v>
      </c>
      <c r="F9" s="32"/>
      <c r="G9" s="32"/>
      <c r="H9" s="32"/>
      <c r="I9" s="32"/>
      <c r="J9" s="32"/>
      <c r="K9" s="32"/>
    </row>
    <row r="10" spans="1:11" x14ac:dyDescent="0.25">
      <c r="E10" s="68" t="s">
        <v>8</v>
      </c>
      <c r="F10" s="32"/>
      <c r="G10" s="32"/>
      <c r="H10" s="32"/>
      <c r="I10" s="32"/>
      <c r="J10" s="32"/>
      <c r="K10" s="32"/>
    </row>
    <row r="11" spans="1:11" ht="13.5" thickBot="1" x14ac:dyDescent="0.35">
      <c r="A11" s="70" t="s">
        <v>18</v>
      </c>
    </row>
    <row r="12" spans="1:11" x14ac:dyDescent="0.25">
      <c r="A12" s="69" t="s">
        <v>20</v>
      </c>
      <c r="B12" s="57">
        <f>PMT(B5,B4,-(B3),0,0)</f>
        <v>69530.380246394794</v>
      </c>
      <c r="C12" s="73"/>
    </row>
    <row r="13" spans="1:11" ht="13" thickBot="1" x14ac:dyDescent="0.3">
      <c r="A13" s="69" t="s">
        <v>22</v>
      </c>
      <c r="B13" s="82">
        <f>PMT(SUM(B6,B7),B4,-(B3),0,0)</f>
        <v>76114.337188519465</v>
      </c>
      <c r="C13" s="73"/>
    </row>
    <row r="14" spans="1:11" x14ac:dyDescent="0.25">
      <c r="B14" s="73"/>
    </row>
    <row r="15" spans="1:11" ht="13.5" customHeight="1" thickBot="1" x14ac:dyDescent="0.35">
      <c r="A15" s="70" t="s">
        <v>24</v>
      </c>
      <c r="B15" s="71" t="s">
        <v>25</v>
      </c>
      <c r="C15" s="71" t="s">
        <v>26</v>
      </c>
      <c r="E15" s="64" t="s">
        <v>70</v>
      </c>
      <c r="F15" s="85"/>
      <c r="G15" s="85"/>
      <c r="H15" s="85"/>
      <c r="I15" s="32"/>
      <c r="J15" s="32"/>
      <c r="K15" s="32"/>
    </row>
    <row r="16" spans="1:11" x14ac:dyDescent="0.25">
      <c r="A16" s="69" t="s">
        <v>28</v>
      </c>
      <c r="B16" s="57">
        <f>(B12*B4)-B3</f>
        <v>36712.661724763573</v>
      </c>
      <c r="C16" s="58">
        <f ca="1">SUM(F:F)</f>
        <v>36712.66172476358</v>
      </c>
      <c r="D16" s="74"/>
      <c r="E16" s="66" t="s">
        <v>71</v>
      </c>
      <c r="F16" s="85"/>
      <c r="G16" s="85"/>
      <c r="H16" s="85"/>
      <c r="I16" s="32"/>
      <c r="J16" s="32"/>
      <c r="K16" s="32"/>
    </row>
    <row r="17" spans="1:21" x14ac:dyDescent="0.25">
      <c r="A17" s="69" t="s">
        <v>29</v>
      </c>
      <c r="B17" s="59">
        <f>(B13*B4)-B3</f>
        <v>82800.360319636296</v>
      </c>
      <c r="C17" s="39">
        <f ca="1">SUM(J:J)</f>
        <v>82800.360319636296</v>
      </c>
      <c r="D17" s="74"/>
      <c r="E17" s="66" t="s">
        <v>72</v>
      </c>
      <c r="F17" s="85"/>
      <c r="G17" s="85"/>
      <c r="H17" s="85"/>
      <c r="I17" s="32"/>
      <c r="J17" s="32"/>
      <c r="K17" s="32"/>
    </row>
    <row r="18" spans="1:21" x14ac:dyDescent="0.25">
      <c r="A18" s="69" t="s">
        <v>30</v>
      </c>
      <c r="B18" s="59">
        <f ca="1">NPV(SUM(B6,B8),OFFSET('Annuiteit berekening'!$C$2,0,0,$B$4,1))</f>
        <v>33411.567111340599</v>
      </c>
      <c r="C18" s="39">
        <f ca="1">SUM(P:P)</f>
        <v>33411.567111340592</v>
      </c>
      <c r="E18" s="66" t="s">
        <v>73</v>
      </c>
      <c r="F18" s="85"/>
      <c r="G18" s="85"/>
      <c r="H18" s="85"/>
      <c r="I18" s="32"/>
      <c r="J18" s="32"/>
      <c r="K18" s="32"/>
    </row>
    <row r="19" spans="1:21" x14ac:dyDescent="0.25">
      <c r="A19" s="69" t="s">
        <v>31</v>
      </c>
      <c r="B19" s="59">
        <f ca="1">NPV(SUM(B6,B8),OFFSET('Annuiteit berekening'!$G$2,0,0,$B$4,1))</f>
        <v>75275.806078737718</v>
      </c>
      <c r="C19" s="39">
        <f ca="1">SUM(Q:Q)</f>
        <v>75275.806078737718</v>
      </c>
      <c r="E19" s="66" t="s">
        <v>74</v>
      </c>
      <c r="F19" s="85"/>
      <c r="G19" s="85"/>
      <c r="H19" s="85"/>
      <c r="I19" s="32"/>
      <c r="J19" s="32"/>
      <c r="K19" s="32"/>
    </row>
    <row r="20" spans="1:21" ht="13" thickBot="1" x14ac:dyDescent="0.3">
      <c r="A20" s="71" t="s">
        <v>32</v>
      </c>
      <c r="B20" s="60">
        <f ca="1">B19-B18</f>
        <v>41864.238967397119</v>
      </c>
      <c r="C20" s="61">
        <f ca="1">SUM(R:R)</f>
        <v>41864.238967397134</v>
      </c>
      <c r="E20" s="67" t="s">
        <v>75</v>
      </c>
      <c r="F20" s="32"/>
      <c r="G20" s="32"/>
      <c r="H20" s="32"/>
      <c r="I20" s="32"/>
      <c r="J20" s="32"/>
      <c r="K20" s="32"/>
    </row>
    <row r="21" spans="1:21" ht="13" thickBot="1" x14ac:dyDescent="0.3">
      <c r="A21" s="71"/>
      <c r="B21" s="75"/>
      <c r="C21" s="76"/>
    </row>
    <row r="22" spans="1:21" ht="13" x14ac:dyDescent="0.3">
      <c r="A22" s="43" t="s">
        <v>11</v>
      </c>
      <c r="B22" s="34" t="s">
        <v>12</v>
      </c>
      <c r="C22" s="34" t="s">
        <v>13</v>
      </c>
      <c r="D22" s="35" t="s">
        <v>14</v>
      </c>
    </row>
    <row r="23" spans="1:21" x14ac:dyDescent="0.25">
      <c r="A23" s="36" t="s">
        <v>15</v>
      </c>
      <c r="B23" s="44">
        <v>6.0000000000000001E-3</v>
      </c>
      <c r="C23" s="44">
        <v>7.4999999999999997E-3</v>
      </c>
      <c r="D23" s="45">
        <v>0.01</v>
      </c>
    </row>
    <row r="24" spans="1:21" x14ac:dyDescent="0.25">
      <c r="A24" s="36" t="s">
        <v>16</v>
      </c>
      <c r="B24" s="44">
        <v>7.4999999999999997E-3</v>
      </c>
      <c r="C24" s="46">
        <v>0.01</v>
      </c>
      <c r="D24" s="47">
        <v>2.1999999999999999E-2</v>
      </c>
    </row>
    <row r="25" spans="1:21" x14ac:dyDescent="0.25">
      <c r="A25" s="36" t="s">
        <v>17</v>
      </c>
      <c r="B25" s="46">
        <v>0.01</v>
      </c>
      <c r="C25" s="44">
        <v>2.1999999999999999E-2</v>
      </c>
      <c r="D25" s="45">
        <v>0.04</v>
      </c>
    </row>
    <row r="26" spans="1:21" x14ac:dyDescent="0.25">
      <c r="A26" s="36" t="s">
        <v>19</v>
      </c>
      <c r="B26" s="44">
        <v>2.1999999999999999E-2</v>
      </c>
      <c r="C26" s="46">
        <v>0.04</v>
      </c>
      <c r="D26" s="47">
        <v>6.5000000000000002E-2</v>
      </c>
    </row>
    <row r="27" spans="1:21" x14ac:dyDescent="0.25">
      <c r="A27" s="36" t="s">
        <v>21</v>
      </c>
      <c r="B27" s="46">
        <v>0.04</v>
      </c>
      <c r="C27" s="44">
        <v>6.5000000000000002E-2</v>
      </c>
      <c r="D27" s="45">
        <v>0.1</v>
      </c>
    </row>
    <row r="28" spans="1:21" ht="13" thickBot="1" x14ac:dyDescent="0.3">
      <c r="A28" s="40" t="s">
        <v>23</v>
      </c>
      <c r="B28" s="48">
        <v>0.04</v>
      </c>
      <c r="C28" s="49">
        <v>6.5000000000000002E-2</v>
      </c>
      <c r="D28" s="50">
        <v>0.1</v>
      </c>
    </row>
    <row r="29" spans="1:21" ht="13" thickBot="1" x14ac:dyDescent="0.3"/>
    <row r="30" spans="1:21" ht="13" x14ac:dyDescent="0.3">
      <c r="A30" s="26" t="s">
        <v>1</v>
      </c>
      <c r="B30" s="27" t="s">
        <v>53</v>
      </c>
      <c r="D30" s="43" t="str" cm="1">
        <f t="array" aca="1" ref="D30:R37" ca="1">OFFSET('Annuiteit berekening'!A1, 0, 0, SUM(B4,1), 15)</f>
        <v>Jaar</v>
      </c>
      <c r="E30" s="34" t="str">
        <f ca="1"/>
        <v>Schuld begin</v>
      </c>
      <c r="F30" s="34" t="str">
        <f ca="1"/>
        <v xml:space="preserve">Voordeel rente </v>
      </c>
      <c r="G30" s="34" t="str">
        <f ca="1"/>
        <v>Aflossing1</v>
      </c>
      <c r="H30" s="34" t="str">
        <f ca="1"/>
        <v>Betaling1</v>
      </c>
      <c r="I30" s="34" t="str">
        <f ca="1"/>
        <v>Schuld1</v>
      </c>
      <c r="J30" s="34" t="str">
        <f ca="1"/>
        <v>Marktrente</v>
      </c>
      <c r="K30" s="34" t="str">
        <f ca="1"/>
        <v>Aflossing2</v>
      </c>
      <c r="L30" s="34" t="str">
        <f ca="1"/>
        <v>Betaling2</v>
      </c>
      <c r="M30" s="34" t="str">
        <f ca="1"/>
        <v>Schuld2</v>
      </c>
      <c r="N30" s="34" t="str">
        <f ca="1"/>
        <v>Disconto</v>
      </c>
      <c r="O30" s="34" t="str">
        <f ca="1"/>
        <v>Factor</v>
      </c>
      <c r="P30" s="34" t="str">
        <f ca="1"/>
        <v>CWR1</v>
      </c>
      <c r="Q30" s="34" t="str">
        <f ca="1"/>
        <v>CWR2</v>
      </c>
      <c r="R30" s="83" t="str">
        <f ca="1"/>
        <v>Contant voordeel</v>
      </c>
      <c r="S30" s="70"/>
      <c r="T30" s="90"/>
      <c r="U30" s="90"/>
    </row>
    <row r="31" spans="1:21" x14ac:dyDescent="0.25">
      <c r="A31" s="28" t="s">
        <v>69</v>
      </c>
      <c r="B31" s="29" t="s">
        <v>34</v>
      </c>
      <c r="D31" s="36">
        <f ca="1"/>
        <v>1</v>
      </c>
      <c r="E31" s="37">
        <f ca="1"/>
        <v>450000</v>
      </c>
      <c r="F31" s="37">
        <f ca="1"/>
        <v>9000</v>
      </c>
      <c r="G31" s="37">
        <f ca="1"/>
        <v>60530.380246394794</v>
      </c>
      <c r="H31" s="37">
        <f ca="1"/>
        <v>69530.380246394794</v>
      </c>
      <c r="I31" s="37">
        <f ca="1"/>
        <v>389469.61975360522</v>
      </c>
      <c r="J31" s="37">
        <f ca="1"/>
        <v>19845</v>
      </c>
      <c r="K31" s="37">
        <f ca="1"/>
        <v>56269.337188519465</v>
      </c>
      <c r="L31" s="37">
        <f ca="1"/>
        <v>76114.337188519465</v>
      </c>
      <c r="M31" s="37">
        <f ca="1"/>
        <v>393730.66281148052</v>
      </c>
      <c r="N31" s="38">
        <f ca="1"/>
        <v>3.2100000000000004E-2</v>
      </c>
      <c r="O31" s="38">
        <f ca="1"/>
        <v>0.9688983625617672</v>
      </c>
      <c r="P31" s="37">
        <f ca="1"/>
        <v>8720.0852630559057</v>
      </c>
      <c r="Q31" s="37">
        <f ca="1"/>
        <v>19227.78800503827</v>
      </c>
      <c r="R31" s="84">
        <f ca="1"/>
        <v>10507.702741982364</v>
      </c>
      <c r="S31" s="78"/>
    </row>
    <row r="32" spans="1:21" x14ac:dyDescent="0.25">
      <c r="A32" s="28" t="s">
        <v>2</v>
      </c>
      <c r="B32" s="30" t="s">
        <v>35</v>
      </c>
      <c r="D32" s="36">
        <f ca="1"/>
        <v>2</v>
      </c>
      <c r="E32" s="37">
        <f ca="1"/>
        <v>389469.61975360522</v>
      </c>
      <c r="F32" s="37">
        <f ca="1"/>
        <v>7789.3923950721046</v>
      </c>
      <c r="G32" s="37">
        <f ca="1"/>
        <v>61740.987851322687</v>
      </c>
      <c r="H32" s="37">
        <f ca="1"/>
        <v>69530.380246394794</v>
      </c>
      <c r="I32" s="37">
        <f ca="1"/>
        <v>327728.63190228253</v>
      </c>
      <c r="J32" s="37">
        <f ca="1"/>
        <v>17363.522229986291</v>
      </c>
      <c r="K32" s="37">
        <f ca="1"/>
        <v>58750.81495853317</v>
      </c>
      <c r="L32" s="37">
        <f ca="1"/>
        <v>76114.337188519465</v>
      </c>
      <c r="M32" s="37">
        <f ca="1"/>
        <v>334979.84785294737</v>
      </c>
      <c r="N32" s="38">
        <f ca="1"/>
        <v>3.2100000000000004E-2</v>
      </c>
      <c r="O32" s="38">
        <f ca="1"/>
        <v>0.93876403697487376</v>
      </c>
      <c r="P32" s="37">
        <f ca="1"/>
        <v>7312.4014503792696</v>
      </c>
      <c r="Q32" s="37">
        <f ca="1"/>
        <v>16300.250224724892</v>
      </c>
      <c r="R32" s="84">
        <f ca="1"/>
        <v>8987.8487743456226</v>
      </c>
      <c r="S32" s="78"/>
    </row>
    <row r="33" spans="1:19" x14ac:dyDescent="0.25">
      <c r="A33" s="28" t="s">
        <v>54</v>
      </c>
      <c r="B33" s="30" t="s">
        <v>48</v>
      </c>
      <c r="D33" s="36">
        <f ca="1"/>
        <v>3</v>
      </c>
      <c r="E33" s="37">
        <f ca="1"/>
        <v>327728.63190228253</v>
      </c>
      <c r="F33" s="37">
        <f ca="1"/>
        <v>6554.5726380456508</v>
      </c>
      <c r="G33" s="37">
        <f ca="1"/>
        <v>62975.807608349147</v>
      </c>
      <c r="H33" s="37">
        <f ca="1"/>
        <v>69530.380246394794</v>
      </c>
      <c r="I33" s="37">
        <f ca="1"/>
        <v>264752.8242939334</v>
      </c>
      <c r="J33" s="37">
        <f ca="1"/>
        <v>14772.611290314979</v>
      </c>
      <c r="K33" s="37">
        <f ca="1"/>
        <v>61341.725898204488</v>
      </c>
      <c r="L33" s="37">
        <f ca="1"/>
        <v>76114.337188519465</v>
      </c>
      <c r="M33" s="37">
        <f ca="1"/>
        <v>273638.12195474288</v>
      </c>
      <c r="N33" s="38">
        <f ca="1"/>
        <v>3.2100000000000004E-2</v>
      </c>
      <c r="O33" s="38">
        <f ca="1"/>
        <v>0.90956693825682955</v>
      </c>
      <c r="P33" s="37">
        <f ca="1"/>
        <v>5961.8225659691725</v>
      </c>
      <c r="Q33" s="37">
        <f ca="1"/>
        <v>13436.678821390067</v>
      </c>
      <c r="R33" s="84">
        <f ca="1"/>
        <v>7474.8562554208947</v>
      </c>
      <c r="S33" s="78"/>
    </row>
    <row r="34" spans="1:19" x14ac:dyDescent="0.25">
      <c r="A34" s="28" t="s">
        <v>55</v>
      </c>
      <c r="B34" s="30" t="s">
        <v>51</v>
      </c>
      <c r="D34" s="36">
        <f ca="1"/>
        <v>4</v>
      </c>
      <c r="E34" s="37">
        <f ca="1"/>
        <v>264752.8242939334</v>
      </c>
      <c r="F34" s="37">
        <f ca="1"/>
        <v>5295.0564858786684</v>
      </c>
      <c r="G34" s="37">
        <f ca="1"/>
        <v>64235.323760516127</v>
      </c>
      <c r="H34" s="37">
        <f ca="1"/>
        <v>69530.380246394794</v>
      </c>
      <c r="I34" s="37">
        <f ca="1"/>
        <v>200517.50053341727</v>
      </c>
      <c r="J34" s="37">
        <f ca="1"/>
        <v>12067.441178204161</v>
      </c>
      <c r="K34" s="37">
        <f ca="1"/>
        <v>64046.896010315308</v>
      </c>
      <c r="L34" s="37">
        <f ca="1"/>
        <v>76114.337188519465</v>
      </c>
      <c r="M34" s="37">
        <f ca="1"/>
        <v>209591.22594442757</v>
      </c>
      <c r="N34" s="38">
        <f ca="1"/>
        <v>3.2100000000000004E-2</v>
      </c>
      <c r="O34" s="38">
        <f ca="1"/>
        <v>0.88127791711736214</v>
      </c>
      <c r="P34" s="37">
        <f ca="1"/>
        <v>4666.4163508939318</v>
      </c>
      <c r="Q34" s="37">
        <f ca="1"/>
        <v>10634.769426464049</v>
      </c>
      <c r="R34" s="84">
        <f ca="1"/>
        <v>5968.3530755701167</v>
      </c>
      <c r="S34" s="78"/>
    </row>
    <row r="35" spans="1:19" x14ac:dyDescent="0.25">
      <c r="A35" s="28" t="s">
        <v>56</v>
      </c>
      <c r="B35" s="30" t="s">
        <v>52</v>
      </c>
      <c r="D35" s="36">
        <f ca="1"/>
        <v>5</v>
      </c>
      <c r="E35" s="37">
        <f ca="1"/>
        <v>200517.50053341727</v>
      </c>
      <c r="F35" s="37">
        <f ca="1"/>
        <v>4010.3500106683455</v>
      </c>
      <c r="G35" s="37">
        <f ca="1"/>
        <v>65520.030235726452</v>
      </c>
      <c r="H35" s="37">
        <f ca="1"/>
        <v>69530.380246394794</v>
      </c>
      <c r="I35" s="37">
        <f ca="1"/>
        <v>134997.47029769083</v>
      </c>
      <c r="J35" s="37">
        <f ca="1"/>
        <v>9242.9730641492552</v>
      </c>
      <c r="K35" s="37">
        <f ca="1"/>
        <v>66871.364124370215</v>
      </c>
      <c r="L35" s="37">
        <f ca="1"/>
        <v>76114.337188519465</v>
      </c>
      <c r="M35" s="37">
        <f ca="1"/>
        <v>142719.86182005735</v>
      </c>
      <c r="N35" s="38">
        <f ca="1"/>
        <v>3.2100000000000004E-2</v>
      </c>
      <c r="O35" s="38">
        <f ca="1"/>
        <v>0.85386873085685711</v>
      </c>
      <c r="P35" s="37">
        <f ca="1"/>
        <v>3424.3124739011637</v>
      </c>
      <c r="Q35" s="37">
        <f ca="1"/>
        <v>7892.2856796292399</v>
      </c>
      <c r="R35" s="84">
        <f ca="1"/>
        <v>4467.9732057280762</v>
      </c>
      <c r="S35" s="78"/>
    </row>
    <row r="36" spans="1:19" x14ac:dyDescent="0.25">
      <c r="A36" s="28" t="s">
        <v>57</v>
      </c>
      <c r="B36" s="30" t="s">
        <v>39</v>
      </c>
      <c r="D36" s="36">
        <f ca="1"/>
        <v>6</v>
      </c>
      <c r="E36" s="37">
        <f ca="1"/>
        <v>134997.47029769083</v>
      </c>
      <c r="F36" s="37">
        <f ca="1"/>
        <v>2699.9494059538165</v>
      </c>
      <c r="G36" s="37">
        <f ca="1"/>
        <v>66830.430840440982</v>
      </c>
      <c r="H36" s="37">
        <f ca="1"/>
        <v>69530.380246394794</v>
      </c>
      <c r="I36" s="37">
        <f ca="1"/>
        <v>68167.039457249848</v>
      </c>
      <c r="J36" s="37">
        <f ca="1"/>
        <v>6293.9459062645292</v>
      </c>
      <c r="K36" s="37">
        <f ca="1"/>
        <v>69820.391282254932</v>
      </c>
      <c r="L36" s="37">
        <f ca="1"/>
        <v>76114.337188519465</v>
      </c>
      <c r="M36" s="37">
        <f ca="1"/>
        <v>72899.470537802423</v>
      </c>
      <c r="N36" s="38">
        <f ca="1"/>
        <v>3.2100000000000004E-2</v>
      </c>
      <c r="O36" s="38">
        <f ca="1"/>
        <v>0.82731201516990316</v>
      </c>
      <c r="P36" s="37">
        <f ca="1"/>
        <v>2233.7005838964346</v>
      </c>
      <c r="Q36" s="37">
        <f ca="1"/>
        <v>5207.0570710820703</v>
      </c>
      <c r="R36" s="84">
        <f ca="1"/>
        <v>2973.3564871856356</v>
      </c>
      <c r="S36" s="78"/>
    </row>
    <row r="37" spans="1:19" x14ac:dyDescent="0.25">
      <c r="A37" s="28" t="s">
        <v>58</v>
      </c>
      <c r="B37" s="30" t="s">
        <v>40</v>
      </c>
      <c r="D37" s="36">
        <f ca="1"/>
        <v>7</v>
      </c>
      <c r="E37" s="37">
        <f ca="1"/>
        <v>68167.039457249848</v>
      </c>
      <c r="F37" s="37">
        <f ca="1"/>
        <v>1363.340789144997</v>
      </c>
      <c r="G37" s="37">
        <f ca="1"/>
        <v>68167.039457249804</v>
      </c>
      <c r="H37" s="37">
        <f ca="1"/>
        <v>69530.380246394794</v>
      </c>
      <c r="I37" s="37">
        <f ca="1"/>
        <v>0</v>
      </c>
      <c r="J37" s="37">
        <f ca="1"/>
        <v>3214.8666507170869</v>
      </c>
      <c r="K37" s="37">
        <f ca="1"/>
        <v>72899.470537802379</v>
      </c>
      <c r="L37" s="37">
        <f ca="1"/>
        <v>76114.337188519465</v>
      </c>
      <c r="M37" s="37">
        <f ca="1"/>
        <v>0</v>
      </c>
      <c r="N37" s="38">
        <f ca="1"/>
        <v>3.2100000000000004E-2</v>
      </c>
      <c r="O37" s="38">
        <f ca="1"/>
        <v>0.80158125682579506</v>
      </c>
      <c r="P37" s="37">
        <f ca="1"/>
        <v>1092.8284232447179</v>
      </c>
      <c r="Q37" s="37">
        <f ca="1"/>
        <v>2576.9768504091367</v>
      </c>
      <c r="R37" s="84">
        <f ca="1"/>
        <v>1484.1484271644188</v>
      </c>
      <c r="S37" s="78"/>
    </row>
    <row r="38" spans="1:19" x14ac:dyDescent="0.25">
      <c r="A38" s="28" t="s">
        <v>59</v>
      </c>
      <c r="B38" s="31" t="s">
        <v>41</v>
      </c>
      <c r="D38" s="36"/>
      <c r="E38" s="37"/>
      <c r="F38" s="37"/>
      <c r="G38" s="37"/>
      <c r="H38" s="37"/>
      <c r="I38" s="37"/>
      <c r="J38" s="37"/>
      <c r="K38" s="37"/>
      <c r="L38" s="37"/>
      <c r="M38" s="37"/>
      <c r="N38" s="38"/>
      <c r="O38" s="38"/>
      <c r="P38" s="37"/>
      <c r="Q38" s="37"/>
      <c r="R38" s="84"/>
      <c r="S38" s="78"/>
    </row>
    <row r="39" spans="1:19" x14ac:dyDescent="0.25">
      <c r="A39" s="28" t="s">
        <v>56</v>
      </c>
      <c r="B39" s="31" t="s">
        <v>42</v>
      </c>
      <c r="D39" s="36"/>
      <c r="E39" s="37"/>
      <c r="F39" s="37"/>
      <c r="G39" s="37"/>
      <c r="H39" s="37"/>
      <c r="I39" s="37"/>
      <c r="J39" s="37"/>
      <c r="K39" s="37"/>
      <c r="L39" s="37"/>
      <c r="M39" s="37"/>
      <c r="N39" s="38"/>
      <c r="O39" s="38"/>
      <c r="P39" s="37"/>
      <c r="Q39" s="37"/>
      <c r="R39" s="84"/>
      <c r="S39" s="78"/>
    </row>
    <row r="40" spans="1:19" x14ac:dyDescent="0.25">
      <c r="A40" s="28" t="s">
        <v>60</v>
      </c>
      <c r="B40" s="31" t="s">
        <v>43</v>
      </c>
      <c r="D40" s="36"/>
      <c r="E40" s="37"/>
      <c r="F40" s="37"/>
      <c r="G40" s="37"/>
      <c r="H40" s="37"/>
      <c r="I40" s="37"/>
      <c r="J40" s="37"/>
      <c r="K40" s="37"/>
      <c r="L40" s="37"/>
      <c r="M40" s="37"/>
      <c r="N40" s="38"/>
      <c r="O40" s="38"/>
      <c r="P40" s="37"/>
      <c r="Q40" s="37"/>
      <c r="R40" s="84"/>
      <c r="S40" s="78"/>
    </row>
    <row r="41" spans="1:19" x14ac:dyDescent="0.25">
      <c r="A41" s="28" t="s">
        <v>63</v>
      </c>
      <c r="B41" s="31" t="s">
        <v>44</v>
      </c>
      <c r="D41" s="36"/>
      <c r="E41" s="37"/>
      <c r="F41" s="37"/>
      <c r="G41" s="37"/>
      <c r="H41" s="37"/>
      <c r="I41" s="37"/>
      <c r="J41" s="37"/>
      <c r="K41" s="37"/>
      <c r="L41" s="37"/>
      <c r="M41" s="37"/>
      <c r="N41" s="38"/>
      <c r="O41" s="38"/>
      <c r="P41" s="37"/>
      <c r="Q41" s="37"/>
      <c r="R41" s="84"/>
      <c r="S41" s="78"/>
    </row>
    <row r="42" spans="1:19" x14ac:dyDescent="0.25">
      <c r="A42" s="28" t="s">
        <v>61</v>
      </c>
      <c r="B42" s="31" t="s">
        <v>45</v>
      </c>
      <c r="D42" s="36"/>
      <c r="E42" s="37"/>
      <c r="F42" s="37"/>
      <c r="G42" s="37"/>
      <c r="H42" s="37"/>
      <c r="I42" s="37"/>
      <c r="J42" s="37"/>
      <c r="K42" s="37"/>
      <c r="L42" s="37"/>
      <c r="M42" s="37"/>
      <c r="N42" s="38"/>
      <c r="O42" s="38"/>
      <c r="P42" s="37"/>
      <c r="Q42" s="37"/>
      <c r="R42" s="84"/>
      <c r="S42" s="78"/>
    </row>
    <row r="43" spans="1:19" x14ac:dyDescent="0.25">
      <c r="A43" s="28" t="s">
        <v>65</v>
      </c>
      <c r="B43" s="31" t="s">
        <v>46</v>
      </c>
      <c r="C43" s="77"/>
      <c r="D43" s="36"/>
      <c r="E43" s="37"/>
      <c r="F43" s="37"/>
      <c r="G43" s="37"/>
      <c r="H43" s="37"/>
      <c r="I43" s="37"/>
      <c r="J43" s="37"/>
      <c r="K43" s="37"/>
      <c r="L43" s="37"/>
      <c r="M43" s="37"/>
      <c r="N43" s="38"/>
      <c r="O43" s="38"/>
      <c r="P43" s="37"/>
      <c r="Q43" s="37"/>
      <c r="R43" s="84"/>
      <c r="S43" s="78"/>
    </row>
    <row r="44" spans="1:19" x14ac:dyDescent="0.25">
      <c r="A44" s="28" t="s">
        <v>66</v>
      </c>
      <c r="B44" s="31" t="s">
        <v>47</v>
      </c>
      <c r="C44" s="77"/>
      <c r="D44" s="36"/>
      <c r="E44" s="37"/>
      <c r="F44" s="37"/>
      <c r="G44" s="37"/>
      <c r="H44" s="37"/>
      <c r="I44" s="37"/>
      <c r="J44" s="37"/>
      <c r="K44" s="37"/>
      <c r="L44" s="37"/>
      <c r="M44" s="37"/>
      <c r="N44" s="38"/>
      <c r="O44" s="38"/>
      <c r="P44" s="37"/>
      <c r="Q44" s="37"/>
      <c r="R44" s="84"/>
      <c r="S44" s="78"/>
    </row>
    <row r="45" spans="1:19" x14ac:dyDescent="0.25">
      <c r="A45" s="94" t="s">
        <v>67</v>
      </c>
      <c r="B45" s="28" t="s">
        <v>64</v>
      </c>
      <c r="D45" s="36"/>
      <c r="E45" s="37"/>
      <c r="F45" s="37"/>
      <c r="G45" s="37"/>
      <c r="H45" s="37"/>
      <c r="I45" s="37"/>
      <c r="J45" s="37"/>
      <c r="K45" s="37"/>
      <c r="L45" s="37"/>
      <c r="M45" s="37"/>
      <c r="N45" s="38"/>
      <c r="O45" s="38"/>
      <c r="P45" s="37"/>
      <c r="Q45" s="37"/>
      <c r="R45" s="84"/>
      <c r="S45" s="78"/>
    </row>
    <row r="46" spans="1:19" x14ac:dyDescent="0.25">
      <c r="A46" s="94"/>
      <c r="B46" s="32"/>
      <c r="D46" s="36"/>
      <c r="E46" s="37"/>
      <c r="F46" s="37"/>
      <c r="G46" s="37"/>
      <c r="H46" s="37"/>
      <c r="I46" s="37"/>
      <c r="J46" s="37"/>
      <c r="K46" s="37"/>
      <c r="L46" s="37"/>
      <c r="M46" s="37"/>
      <c r="N46" s="38"/>
      <c r="O46" s="38"/>
      <c r="P46" s="37"/>
      <c r="Q46" s="37"/>
      <c r="R46" s="84"/>
      <c r="S46" s="78"/>
    </row>
    <row r="47" spans="1:19" x14ac:dyDescent="0.25">
      <c r="D47" s="36"/>
      <c r="E47" s="37"/>
      <c r="F47" s="37"/>
      <c r="G47" s="37"/>
      <c r="H47" s="37"/>
      <c r="I47" s="37"/>
      <c r="J47" s="37"/>
      <c r="K47" s="37"/>
      <c r="L47" s="37"/>
      <c r="M47" s="37"/>
      <c r="N47" s="38"/>
      <c r="O47" s="38"/>
      <c r="P47" s="37"/>
      <c r="Q47" s="37"/>
      <c r="R47" s="84"/>
      <c r="S47" s="78"/>
    </row>
    <row r="48" spans="1:19" x14ac:dyDescent="0.25">
      <c r="D48" s="36"/>
      <c r="E48" s="37"/>
      <c r="F48" s="37"/>
      <c r="G48" s="37"/>
      <c r="H48" s="37"/>
      <c r="I48" s="37"/>
      <c r="J48" s="37"/>
      <c r="K48" s="37"/>
      <c r="L48" s="37"/>
      <c r="M48" s="37"/>
      <c r="N48" s="38"/>
      <c r="O48" s="38"/>
      <c r="P48" s="37"/>
      <c r="Q48" s="37"/>
      <c r="R48" s="84"/>
      <c r="S48" s="78"/>
    </row>
    <row r="49" spans="3:19" x14ac:dyDescent="0.25">
      <c r="D49" s="36"/>
      <c r="E49" s="37"/>
      <c r="F49" s="37"/>
      <c r="G49" s="37"/>
      <c r="H49" s="37"/>
      <c r="I49" s="37"/>
      <c r="J49" s="37"/>
      <c r="K49" s="37"/>
      <c r="L49" s="37"/>
      <c r="M49" s="37"/>
      <c r="N49" s="38"/>
      <c r="O49" s="38"/>
      <c r="P49" s="37"/>
      <c r="Q49" s="37"/>
      <c r="R49" s="84"/>
      <c r="S49" s="78"/>
    </row>
    <row r="50" spans="3:19" x14ac:dyDescent="0.25">
      <c r="D50" s="36"/>
      <c r="E50" s="37"/>
      <c r="F50" s="37"/>
      <c r="G50" s="37"/>
      <c r="H50" s="37"/>
      <c r="I50" s="37"/>
      <c r="J50" s="37"/>
      <c r="K50" s="37"/>
      <c r="L50" s="37"/>
      <c r="M50" s="37"/>
      <c r="N50" s="38"/>
      <c r="O50" s="38"/>
      <c r="P50" s="37"/>
      <c r="Q50" s="37"/>
      <c r="R50" s="84"/>
      <c r="S50" s="78"/>
    </row>
    <row r="51" spans="3:19" x14ac:dyDescent="0.25">
      <c r="C51" s="78"/>
      <c r="D51" s="36"/>
      <c r="E51" s="37"/>
      <c r="F51" s="37"/>
      <c r="G51" s="37"/>
      <c r="H51" s="37"/>
      <c r="I51" s="37"/>
      <c r="J51" s="37"/>
      <c r="K51" s="37"/>
      <c r="L51" s="37"/>
      <c r="M51" s="37"/>
      <c r="N51" s="38"/>
      <c r="O51" s="38"/>
      <c r="P51" s="37"/>
      <c r="Q51" s="37"/>
      <c r="R51" s="84"/>
      <c r="S51" s="78"/>
    </row>
    <row r="52" spans="3:19" x14ac:dyDescent="0.25">
      <c r="C52" s="78"/>
      <c r="D52" s="36"/>
      <c r="E52" s="37"/>
      <c r="F52" s="37"/>
      <c r="G52" s="37"/>
      <c r="H52" s="37"/>
      <c r="I52" s="37"/>
      <c r="J52" s="37"/>
      <c r="K52" s="37"/>
      <c r="L52" s="37"/>
      <c r="M52" s="37"/>
      <c r="N52" s="38"/>
      <c r="O52" s="38"/>
      <c r="P52" s="37"/>
      <c r="Q52" s="37"/>
      <c r="R52" s="84"/>
      <c r="S52" s="78"/>
    </row>
    <row r="53" spans="3:19" x14ac:dyDescent="0.25">
      <c r="C53" s="78"/>
      <c r="D53" s="36"/>
      <c r="E53" s="37"/>
      <c r="F53" s="37"/>
      <c r="G53" s="37"/>
      <c r="H53" s="37"/>
      <c r="I53" s="37"/>
      <c r="J53" s="37"/>
      <c r="K53" s="37"/>
      <c r="L53" s="37"/>
      <c r="M53" s="37"/>
      <c r="N53" s="38"/>
      <c r="O53" s="38"/>
      <c r="P53" s="37"/>
      <c r="Q53" s="37"/>
      <c r="R53" s="84"/>
      <c r="S53" s="78"/>
    </row>
    <row r="54" spans="3:19" x14ac:dyDescent="0.25">
      <c r="C54" s="78"/>
      <c r="D54" s="36"/>
      <c r="E54" s="37"/>
      <c r="F54" s="37"/>
      <c r="G54" s="37"/>
      <c r="H54" s="37"/>
      <c r="I54" s="37"/>
      <c r="J54" s="37"/>
      <c r="K54" s="37"/>
      <c r="L54" s="37"/>
      <c r="M54" s="37"/>
      <c r="N54" s="38"/>
      <c r="O54" s="38"/>
      <c r="P54" s="37"/>
      <c r="Q54" s="37"/>
      <c r="R54" s="84"/>
      <c r="S54" s="78"/>
    </row>
    <row r="55" spans="3:19" x14ac:dyDescent="0.25">
      <c r="C55" s="78"/>
      <c r="D55" s="36"/>
      <c r="E55" s="37"/>
      <c r="F55" s="37"/>
      <c r="G55" s="37"/>
      <c r="H55" s="37"/>
      <c r="I55" s="37"/>
      <c r="J55" s="37"/>
      <c r="K55" s="37"/>
      <c r="L55" s="37"/>
      <c r="M55" s="37"/>
      <c r="N55" s="38"/>
      <c r="O55" s="38"/>
      <c r="P55" s="37"/>
      <c r="Q55" s="37"/>
      <c r="R55" s="84"/>
      <c r="S55" s="78"/>
    </row>
    <row r="56" spans="3:19" x14ac:dyDescent="0.25">
      <c r="C56" s="78"/>
      <c r="D56" s="36"/>
      <c r="E56" s="37"/>
      <c r="F56" s="37"/>
      <c r="G56" s="37"/>
      <c r="H56" s="37"/>
      <c r="I56" s="37"/>
      <c r="J56" s="37"/>
      <c r="K56" s="37"/>
      <c r="L56" s="37"/>
      <c r="M56" s="37"/>
      <c r="N56" s="38"/>
      <c r="O56" s="38"/>
      <c r="P56" s="37"/>
      <c r="Q56" s="37"/>
      <c r="R56" s="84"/>
      <c r="S56" s="78"/>
    </row>
    <row r="57" spans="3:19" ht="13" thickBot="1" x14ac:dyDescent="0.3">
      <c r="D57" s="40"/>
      <c r="E57" s="41"/>
      <c r="F57" s="41"/>
      <c r="G57" s="41"/>
      <c r="H57" s="41"/>
      <c r="I57" s="41"/>
      <c r="J57" s="41"/>
      <c r="K57" s="41"/>
      <c r="L57" s="41"/>
      <c r="M57" s="41"/>
      <c r="N57" s="42"/>
      <c r="O57" s="42"/>
      <c r="P57" s="41"/>
      <c r="Q57" s="41"/>
      <c r="R57" s="61"/>
      <c r="S57" s="78"/>
    </row>
    <row r="58" spans="3:19" x14ac:dyDescent="0.25">
      <c r="E58" s="78"/>
      <c r="F58" s="78"/>
      <c r="G58" s="78"/>
      <c r="H58" s="78"/>
      <c r="I58" s="78"/>
      <c r="J58" s="78"/>
      <c r="K58" s="78"/>
      <c r="L58" s="78"/>
      <c r="M58" s="78"/>
      <c r="N58" s="79"/>
      <c r="O58" s="79"/>
      <c r="P58" s="78"/>
      <c r="Q58" s="78"/>
      <c r="R58" s="80"/>
      <c r="S58" s="78"/>
    </row>
    <row r="59" spans="3:19" x14ac:dyDescent="0.25">
      <c r="E59" s="78"/>
      <c r="F59" s="78"/>
      <c r="G59" s="78"/>
      <c r="H59" s="78"/>
      <c r="I59" s="78"/>
      <c r="J59" s="78"/>
      <c r="K59" s="78"/>
      <c r="L59" s="78"/>
      <c r="M59" s="78"/>
      <c r="N59" s="79"/>
      <c r="O59" s="79"/>
      <c r="P59" s="78"/>
      <c r="Q59" s="78"/>
      <c r="R59" s="80"/>
      <c r="S59" s="78"/>
    </row>
    <row r="60" spans="3:19" x14ac:dyDescent="0.25">
      <c r="E60" s="78"/>
      <c r="F60" s="78"/>
      <c r="G60" s="78"/>
      <c r="H60" s="78"/>
      <c r="I60" s="78"/>
      <c r="J60" s="78"/>
      <c r="K60" s="78"/>
      <c r="L60" s="78"/>
      <c r="M60" s="78"/>
      <c r="N60" s="79"/>
      <c r="O60" s="79"/>
      <c r="P60" s="78"/>
      <c r="Q60" s="78"/>
      <c r="R60" s="80"/>
      <c r="S60" s="78"/>
    </row>
    <row r="61" spans="3:19" x14ac:dyDescent="0.25">
      <c r="E61" s="78"/>
      <c r="F61" s="78"/>
      <c r="G61" s="78"/>
      <c r="H61" s="78"/>
      <c r="I61" s="78"/>
      <c r="J61" s="78"/>
      <c r="K61" s="78"/>
      <c r="L61" s="78"/>
      <c r="M61" s="78"/>
      <c r="N61" s="79"/>
      <c r="O61" s="79"/>
      <c r="P61" s="78"/>
      <c r="Q61" s="78"/>
      <c r="R61" s="80"/>
      <c r="S61" s="78"/>
    </row>
    <row r="62" spans="3:19" x14ac:dyDescent="0.25">
      <c r="E62" s="78"/>
      <c r="F62" s="78"/>
      <c r="G62" s="78"/>
      <c r="H62" s="78"/>
      <c r="I62" s="78"/>
      <c r="J62" s="78"/>
      <c r="K62" s="78"/>
      <c r="L62" s="78"/>
      <c r="M62" s="78"/>
      <c r="N62" s="79"/>
      <c r="O62" s="79"/>
      <c r="P62" s="78"/>
      <c r="Q62" s="78"/>
      <c r="R62" s="80"/>
      <c r="S62" s="78"/>
    </row>
    <row r="63" spans="3:19" x14ac:dyDescent="0.25">
      <c r="E63" s="78"/>
      <c r="F63" s="78"/>
      <c r="G63" s="78"/>
      <c r="H63" s="78"/>
      <c r="I63" s="78"/>
      <c r="J63" s="78"/>
      <c r="K63" s="78"/>
      <c r="L63" s="78"/>
      <c r="M63" s="78"/>
      <c r="N63" s="81"/>
      <c r="O63" s="81"/>
      <c r="P63" s="78"/>
      <c r="Q63" s="78"/>
      <c r="R63" s="80"/>
      <c r="S63" s="78"/>
    </row>
  </sheetData>
  <mergeCells count="1">
    <mergeCell ref="A45:A46"/>
  </mergeCells>
  <hyperlinks>
    <hyperlink ref="E10" r:id="rId1" xr:uid="{2DA03B73-8B4E-47FE-8F89-CD3A318D8FFC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DFDDC-5D55-4182-A8E8-87D3BCB1C522}">
  <sheetPr>
    <pageSetUpPr autoPageBreaks="0"/>
  </sheetPr>
  <dimension ref="A1:R60"/>
  <sheetViews>
    <sheetView showGridLines="0" zoomScaleNormal="100" zoomScaleSheetLayoutView="100" workbookViewId="0">
      <selection activeCell="A51" sqref="A51"/>
    </sheetView>
  </sheetViews>
  <sheetFormatPr defaultRowHeight="12.5" x14ac:dyDescent="0.25"/>
  <cols>
    <col min="1" max="1" width="37.90625" style="17" customWidth="1"/>
    <col min="2" max="2" width="14.453125" style="17" bestFit="1" customWidth="1"/>
    <col min="3" max="3" width="12.54296875" style="17" bestFit="1" customWidth="1"/>
    <col min="4" max="4" width="13.1796875" style="17" customWidth="1"/>
    <col min="5" max="5" width="12.6328125" style="17" customWidth="1"/>
    <col min="6" max="6" width="10.54296875" style="17" bestFit="1" customWidth="1"/>
    <col min="7" max="8" width="11.54296875" style="17" bestFit="1" customWidth="1"/>
    <col min="9" max="9" width="12.54296875" style="17" bestFit="1" customWidth="1"/>
    <col min="10" max="12" width="11.54296875" style="17" bestFit="1" customWidth="1"/>
    <col min="13" max="13" width="12.54296875" style="17" bestFit="1" customWidth="1"/>
    <col min="14" max="15" width="8.81640625" style="17" bestFit="1" customWidth="1"/>
    <col min="16" max="16" width="10.54296875" style="17" bestFit="1" customWidth="1"/>
    <col min="17" max="17" width="11.54296875" style="17" bestFit="1" customWidth="1"/>
    <col min="18" max="18" width="15.90625" style="17" bestFit="1" customWidth="1"/>
    <col min="19" max="16384" width="8.7265625" style="17"/>
  </cols>
  <sheetData>
    <row r="1" spans="1:12" ht="13" x14ac:dyDescent="0.3">
      <c r="B1" s="16" t="s">
        <v>77</v>
      </c>
    </row>
    <row r="2" spans="1:12" ht="13.5" thickBot="1" x14ac:dyDescent="0.35">
      <c r="A2" s="16" t="s">
        <v>0</v>
      </c>
      <c r="E2" s="63" t="s">
        <v>1</v>
      </c>
      <c r="F2" s="32"/>
      <c r="G2" s="32"/>
      <c r="H2" s="32"/>
      <c r="I2" s="32"/>
      <c r="J2" s="32"/>
      <c r="K2" s="32"/>
      <c r="L2" s="32"/>
    </row>
    <row r="3" spans="1:12" x14ac:dyDescent="0.25">
      <c r="A3" s="17" t="s">
        <v>2</v>
      </c>
      <c r="B3" s="51">
        <v>450000</v>
      </c>
      <c r="E3" s="56" t="s">
        <v>50</v>
      </c>
      <c r="F3" s="32"/>
      <c r="G3" s="32"/>
      <c r="H3" s="32"/>
      <c r="I3" s="32"/>
      <c r="J3" s="32"/>
      <c r="K3" s="32"/>
      <c r="L3" s="32"/>
    </row>
    <row r="4" spans="1:12" x14ac:dyDescent="0.25">
      <c r="A4" s="17" t="s">
        <v>3</v>
      </c>
      <c r="B4" s="52">
        <v>7</v>
      </c>
      <c r="E4" s="56" t="s">
        <v>76</v>
      </c>
      <c r="F4" s="32"/>
      <c r="G4" s="32"/>
      <c r="H4" s="32"/>
      <c r="I4" s="32"/>
      <c r="J4" s="32"/>
      <c r="K4" s="32"/>
      <c r="L4" s="32"/>
    </row>
    <row r="5" spans="1:12" x14ac:dyDescent="0.25">
      <c r="A5" s="17" t="s">
        <v>4</v>
      </c>
      <c r="B5" s="53">
        <v>0.02</v>
      </c>
      <c r="E5" s="56" t="s">
        <v>5</v>
      </c>
      <c r="F5" s="32"/>
      <c r="G5" s="32"/>
      <c r="H5" s="32"/>
      <c r="I5" s="32"/>
      <c r="J5" s="32"/>
      <c r="K5" s="32"/>
      <c r="L5" s="32"/>
    </row>
    <row r="6" spans="1:12" x14ac:dyDescent="0.25">
      <c r="A6" s="17" t="s">
        <v>6</v>
      </c>
      <c r="B6" s="53">
        <v>2.2100000000000002E-2</v>
      </c>
      <c r="E6" s="56" t="s">
        <v>62</v>
      </c>
      <c r="F6" s="32"/>
      <c r="G6" s="68" t="s">
        <v>8</v>
      </c>
      <c r="H6" s="32"/>
      <c r="I6" s="32"/>
      <c r="J6" s="32"/>
      <c r="K6" s="32"/>
      <c r="L6" s="32"/>
    </row>
    <row r="7" spans="1:12" x14ac:dyDescent="0.25">
      <c r="A7" s="17" t="s">
        <v>10</v>
      </c>
      <c r="B7" s="54">
        <v>2.1999999999999999E-2</v>
      </c>
      <c r="E7" s="56" t="s">
        <v>68</v>
      </c>
      <c r="F7" s="32"/>
      <c r="G7" s="32"/>
      <c r="H7" s="32"/>
      <c r="I7" s="32"/>
      <c r="J7" s="32"/>
      <c r="K7" s="32"/>
      <c r="L7" s="32"/>
    </row>
    <row r="8" spans="1:12" ht="13" thickBot="1" x14ac:dyDescent="0.3">
      <c r="A8" s="17" t="s">
        <v>49</v>
      </c>
      <c r="B8" s="55">
        <v>0.01</v>
      </c>
      <c r="E8" s="56" t="s">
        <v>9</v>
      </c>
      <c r="F8" s="32"/>
      <c r="G8" s="32"/>
      <c r="H8" s="32"/>
      <c r="I8" s="32"/>
      <c r="J8" s="32"/>
      <c r="K8" s="32"/>
      <c r="L8" s="32"/>
    </row>
    <row r="9" spans="1:12" x14ac:dyDescent="0.25">
      <c r="B9" s="19"/>
    </row>
    <row r="10" spans="1:12" x14ac:dyDescent="0.25">
      <c r="B10" s="20"/>
    </row>
    <row r="11" spans="1:12" ht="13.5" customHeight="1" thickBot="1" x14ac:dyDescent="0.35">
      <c r="A11" s="16" t="s">
        <v>33</v>
      </c>
      <c r="B11" s="56" t="s">
        <v>25</v>
      </c>
      <c r="C11" s="56" t="s">
        <v>26</v>
      </c>
      <c r="E11" s="64" t="s">
        <v>27</v>
      </c>
      <c r="F11" s="65"/>
      <c r="G11" s="65"/>
      <c r="H11" s="32"/>
      <c r="I11" s="32"/>
      <c r="J11" s="32"/>
      <c r="K11" s="32"/>
      <c r="L11" s="32"/>
    </row>
    <row r="12" spans="1:12" ht="13.5" customHeight="1" x14ac:dyDescent="0.25">
      <c r="A12" s="17" t="s">
        <v>85</v>
      </c>
      <c r="B12" s="86">
        <f>B3/B4</f>
        <v>64285.714285714283</v>
      </c>
      <c r="C12" s="58">
        <f ca="1">G29</f>
        <v>64285.714285714283</v>
      </c>
      <c r="E12" s="64"/>
      <c r="F12" s="65"/>
      <c r="G12" s="65"/>
      <c r="H12" s="32"/>
      <c r="I12" s="32"/>
      <c r="J12" s="32"/>
      <c r="K12" s="32"/>
      <c r="L12" s="32"/>
    </row>
    <row r="13" spans="1:12" x14ac:dyDescent="0.25">
      <c r="A13" s="17" t="s">
        <v>28</v>
      </c>
      <c r="B13" s="87">
        <f>(B3*B5*(B4+1)/2)</f>
        <v>36000</v>
      </c>
      <c r="C13" s="39">
        <f ca="1">SUM(F:F)</f>
        <v>36000.000000000007</v>
      </c>
      <c r="D13" s="21"/>
      <c r="E13" s="66" t="s">
        <v>71</v>
      </c>
      <c r="F13" s="65"/>
      <c r="G13" s="65"/>
      <c r="H13" s="32"/>
      <c r="I13" s="32"/>
      <c r="J13" s="32"/>
      <c r="K13" s="32"/>
      <c r="L13" s="32"/>
    </row>
    <row r="14" spans="1:12" x14ac:dyDescent="0.25">
      <c r="A14" s="17" t="s">
        <v>29</v>
      </c>
      <c r="B14" s="87">
        <f>(B3*(B6+B7)*(B4+1)/2)</f>
        <v>79380</v>
      </c>
      <c r="C14" s="39">
        <f ca="1">SUM(J:J)</f>
        <v>79380</v>
      </c>
      <c r="D14" s="21"/>
      <c r="E14" s="66" t="s">
        <v>72</v>
      </c>
      <c r="F14" s="65"/>
      <c r="G14" s="65"/>
      <c r="H14" s="32"/>
      <c r="I14" s="32"/>
      <c r="J14" s="32"/>
      <c r="K14" s="32"/>
      <c r="L14" s="32"/>
    </row>
    <row r="15" spans="1:12" x14ac:dyDescent="0.25">
      <c r="A15" s="17" t="s">
        <v>30</v>
      </c>
      <c r="B15" s="87">
        <f ca="1">NPV(SUM(B6,B8),OFFSET('Lineair berekening'!$C$2,0,0,$B$4,1))</f>
        <v>32792.953627634641</v>
      </c>
      <c r="C15" s="39">
        <f ca="1">SUM(P:P)</f>
        <v>32792.953627634641</v>
      </c>
      <c r="E15" s="66" t="s">
        <v>73</v>
      </c>
      <c r="F15" s="32"/>
      <c r="G15" s="32"/>
      <c r="H15" s="32"/>
      <c r="I15" s="32"/>
      <c r="J15" s="32"/>
      <c r="K15" s="32"/>
      <c r="L15" s="32"/>
    </row>
    <row r="16" spans="1:12" x14ac:dyDescent="0.25">
      <c r="A16" s="17" t="s">
        <v>31</v>
      </c>
      <c r="B16" s="87">
        <f ca="1">NPV(SUM(B6,B8),OFFSET('Lineair berekening'!$G$2,0,0,$B$4,1))</f>
        <v>72308.462748934384</v>
      </c>
      <c r="C16" s="39">
        <f ca="1">SUM(Q:Q)</f>
        <v>72308.462748934369</v>
      </c>
      <c r="E16" s="66" t="s">
        <v>74</v>
      </c>
      <c r="F16" s="32"/>
      <c r="G16" s="32"/>
      <c r="H16" s="32"/>
      <c r="I16" s="32"/>
      <c r="J16" s="32"/>
      <c r="K16" s="32"/>
      <c r="L16" s="32"/>
    </row>
    <row r="17" spans="1:18" ht="13" thickBot="1" x14ac:dyDescent="0.3">
      <c r="A17" s="62" t="s">
        <v>32</v>
      </c>
      <c r="B17" s="88">
        <f ca="1">B16-B15</f>
        <v>39515.509121299743</v>
      </c>
      <c r="C17" s="61">
        <f ca="1">C16-C15</f>
        <v>39515.509121299729</v>
      </c>
      <c r="E17" s="67" t="s">
        <v>75</v>
      </c>
      <c r="F17" s="32"/>
      <c r="G17" s="32"/>
      <c r="H17" s="32"/>
      <c r="I17" s="32"/>
      <c r="J17" s="32"/>
      <c r="K17" s="32"/>
      <c r="L17" s="32"/>
    </row>
    <row r="18" spans="1:18" x14ac:dyDescent="0.25">
      <c r="A18" s="18"/>
      <c r="B18" s="22"/>
      <c r="C18" s="23"/>
    </row>
    <row r="19" spans="1:18" ht="13" thickBot="1" x14ac:dyDescent="0.3"/>
    <row r="20" spans="1:18" ht="13" x14ac:dyDescent="0.3">
      <c r="A20" s="43" t="s">
        <v>11</v>
      </c>
      <c r="B20" s="34" t="s">
        <v>12</v>
      </c>
      <c r="C20" s="34" t="s">
        <v>13</v>
      </c>
      <c r="D20" s="35" t="s">
        <v>14</v>
      </c>
    </row>
    <row r="21" spans="1:18" x14ac:dyDescent="0.25">
      <c r="A21" s="36" t="s">
        <v>15</v>
      </c>
      <c r="B21" s="44">
        <v>6.0000000000000001E-3</v>
      </c>
      <c r="C21" s="44">
        <v>7.4999999999999997E-3</v>
      </c>
      <c r="D21" s="45">
        <v>0.01</v>
      </c>
    </row>
    <row r="22" spans="1:18" x14ac:dyDescent="0.25">
      <c r="A22" s="36" t="s">
        <v>16</v>
      </c>
      <c r="B22" s="44">
        <v>7.4999999999999997E-3</v>
      </c>
      <c r="C22" s="46">
        <v>0.01</v>
      </c>
      <c r="D22" s="47">
        <v>2.1999999999999999E-2</v>
      </c>
    </row>
    <row r="23" spans="1:18" x14ac:dyDescent="0.25">
      <c r="A23" s="36" t="s">
        <v>17</v>
      </c>
      <c r="B23" s="46">
        <v>0.01</v>
      </c>
      <c r="C23" s="44">
        <v>2.1999999999999999E-2</v>
      </c>
      <c r="D23" s="45">
        <v>0.04</v>
      </c>
    </row>
    <row r="24" spans="1:18" x14ac:dyDescent="0.25">
      <c r="A24" s="36" t="s">
        <v>19</v>
      </c>
      <c r="B24" s="44">
        <v>2.1999999999999999E-2</v>
      </c>
      <c r="C24" s="46">
        <v>0.04</v>
      </c>
      <c r="D24" s="47">
        <v>6.5000000000000002E-2</v>
      </c>
    </row>
    <row r="25" spans="1:18" x14ac:dyDescent="0.25">
      <c r="A25" s="36" t="s">
        <v>21</v>
      </c>
      <c r="B25" s="46">
        <v>0.04</v>
      </c>
      <c r="C25" s="44">
        <v>6.5000000000000002E-2</v>
      </c>
      <c r="D25" s="45">
        <v>0.1</v>
      </c>
    </row>
    <row r="26" spans="1:18" ht="13" thickBot="1" x14ac:dyDescent="0.3">
      <c r="A26" s="40" t="s">
        <v>23</v>
      </c>
      <c r="B26" s="48">
        <v>0.04</v>
      </c>
      <c r="C26" s="49">
        <v>6.5000000000000002E-2</v>
      </c>
      <c r="D26" s="50">
        <v>0.1</v>
      </c>
    </row>
    <row r="27" spans="1:18" ht="13" thickBot="1" x14ac:dyDescent="0.3"/>
    <row r="28" spans="1:18" ht="13" x14ac:dyDescent="0.3">
      <c r="A28" s="26" t="s">
        <v>1</v>
      </c>
      <c r="B28" s="27" t="s">
        <v>53</v>
      </c>
      <c r="D28" s="33" t="str" cm="1">
        <f t="array" aca="1" ref="D28:R35" ca="1">OFFSET('Lineair berekening'!A1, 0, 0, SUM(B4,1), 15)</f>
        <v>Jaar</v>
      </c>
      <c r="E28" s="34" t="str">
        <f ca="1"/>
        <v>Schuld begin</v>
      </c>
      <c r="F28" s="34" t="str">
        <f ca="1"/>
        <v>Rente</v>
      </c>
      <c r="G28" s="34" t="str">
        <f ca="1"/>
        <v>Aflossing</v>
      </c>
      <c r="H28" s="34" t="str">
        <f ca="1"/>
        <v>Betaling</v>
      </c>
      <c r="I28" s="34" t="str">
        <f ca="1"/>
        <v>Schuld1</v>
      </c>
      <c r="J28" s="34" t="str">
        <f ca="1"/>
        <v>Marktrente</v>
      </c>
      <c r="K28" s="34" t="str">
        <f ca="1"/>
        <v>Aflossing2</v>
      </c>
      <c r="L28" s="34" t="str">
        <f ca="1"/>
        <v>Betaling2</v>
      </c>
      <c r="M28" s="34" t="str">
        <f ca="1"/>
        <v>Schuld2</v>
      </c>
      <c r="N28" s="34" t="str">
        <f ca="1"/>
        <v>Disconto</v>
      </c>
      <c r="O28" s="34" t="str">
        <f ca="1"/>
        <v>Factor</v>
      </c>
      <c r="P28" s="34" t="str">
        <f ca="1"/>
        <v>CWR1</v>
      </c>
      <c r="Q28" s="34" t="str">
        <f ca="1"/>
        <v>CWR2</v>
      </c>
      <c r="R28" s="35" t="str">
        <f ca="1"/>
        <v>Contant voordeel</v>
      </c>
    </row>
    <row r="29" spans="1:18" x14ac:dyDescent="0.25">
      <c r="A29" s="28" t="s">
        <v>69</v>
      </c>
      <c r="B29" s="29" t="s">
        <v>34</v>
      </c>
      <c r="D29" s="36">
        <f ca="1"/>
        <v>1</v>
      </c>
      <c r="E29" s="37">
        <f ca="1"/>
        <v>450000</v>
      </c>
      <c r="F29" s="37">
        <f ca="1"/>
        <v>9000</v>
      </c>
      <c r="G29" s="37">
        <f ca="1"/>
        <v>64285.714285714283</v>
      </c>
      <c r="H29" s="37">
        <f ca="1"/>
        <v>73285.71428571429</v>
      </c>
      <c r="I29" s="37">
        <f ca="1"/>
        <v>385714.28571428574</v>
      </c>
      <c r="J29" s="37">
        <f ca="1"/>
        <v>19845</v>
      </c>
      <c r="K29" s="37">
        <f ca="1"/>
        <v>64285.714285714283</v>
      </c>
      <c r="L29" s="37">
        <f ca="1"/>
        <v>84130.71428571429</v>
      </c>
      <c r="M29" s="37">
        <f ca="1"/>
        <v>385714.28571428574</v>
      </c>
      <c r="N29" s="38">
        <f ca="1"/>
        <v>3.2100000000000004E-2</v>
      </c>
      <c r="O29" s="38">
        <f ca="1"/>
        <v>0.9688983625617672</v>
      </c>
      <c r="P29" s="37">
        <f ca="1"/>
        <v>8720.0852630559057</v>
      </c>
      <c r="Q29" s="37">
        <f ca="1"/>
        <v>19227.78800503827</v>
      </c>
      <c r="R29" s="84">
        <f ca="1"/>
        <v>10507.702741982364</v>
      </c>
    </row>
    <row r="30" spans="1:18" x14ac:dyDescent="0.25">
      <c r="A30" s="28" t="s">
        <v>2</v>
      </c>
      <c r="B30" s="30" t="s">
        <v>35</v>
      </c>
      <c r="D30" s="36">
        <f ca="1"/>
        <v>2</v>
      </c>
      <c r="E30" s="37">
        <f ca="1"/>
        <v>385714.28571428574</v>
      </c>
      <c r="F30" s="37">
        <f ca="1"/>
        <v>7714.2857142857147</v>
      </c>
      <c r="G30" s="37">
        <f ca="1"/>
        <v>64285.714285714283</v>
      </c>
      <c r="H30" s="37">
        <f ca="1"/>
        <v>72000</v>
      </c>
      <c r="I30" s="37">
        <f ca="1"/>
        <v>321428.57142857148</v>
      </c>
      <c r="J30" s="37">
        <f ca="1"/>
        <v>17010</v>
      </c>
      <c r="K30" s="37">
        <f ca="1"/>
        <v>64285.714285714283</v>
      </c>
      <c r="L30" s="37">
        <f ca="1"/>
        <v>81295.71428571429</v>
      </c>
      <c r="M30" s="37">
        <f ca="1"/>
        <v>321428.57142857148</v>
      </c>
      <c r="N30" s="38">
        <f ca="1"/>
        <v>3.2100000000000004E-2</v>
      </c>
      <c r="O30" s="38">
        <f ca="1"/>
        <v>0.93876403697487376</v>
      </c>
      <c r="P30" s="37">
        <f ca="1"/>
        <v>7241.8939995204555</v>
      </c>
      <c r="Q30" s="37">
        <f ca="1"/>
        <v>15968.376268942602</v>
      </c>
      <c r="R30" s="84">
        <f ca="1"/>
        <v>8726.4822694221475</v>
      </c>
    </row>
    <row r="31" spans="1:18" x14ac:dyDescent="0.25">
      <c r="A31" s="28" t="s">
        <v>54</v>
      </c>
      <c r="B31" s="30" t="s">
        <v>48</v>
      </c>
      <c r="D31" s="36">
        <f ca="1"/>
        <v>3</v>
      </c>
      <c r="E31" s="37">
        <f ca="1"/>
        <v>321428.57142857148</v>
      </c>
      <c r="F31" s="37">
        <f ca="1"/>
        <v>6428.5714285714294</v>
      </c>
      <c r="G31" s="37">
        <f ca="1"/>
        <v>64285.714285714283</v>
      </c>
      <c r="H31" s="37">
        <f ca="1"/>
        <v>70714.28571428571</v>
      </c>
      <c r="I31" s="37">
        <f ca="1"/>
        <v>257142.85714285719</v>
      </c>
      <c r="J31" s="37">
        <f ca="1"/>
        <v>14175.000000000002</v>
      </c>
      <c r="K31" s="37">
        <f ca="1"/>
        <v>64285.714285714283</v>
      </c>
      <c r="L31" s="37">
        <f ca="1"/>
        <v>78460.71428571429</v>
      </c>
      <c r="M31" s="37">
        <f ca="1"/>
        <v>257142.85714285719</v>
      </c>
      <c r="N31" s="38">
        <f ca="1"/>
        <v>3.2100000000000004E-2</v>
      </c>
      <c r="O31" s="38">
        <f ca="1"/>
        <v>0.90956693825682955</v>
      </c>
      <c r="P31" s="37">
        <f ca="1"/>
        <v>5847.2160316510481</v>
      </c>
      <c r="Q31" s="37">
        <f ca="1"/>
        <v>12893.111349790561</v>
      </c>
      <c r="R31" s="84">
        <f ca="1"/>
        <v>7045.8953181395127</v>
      </c>
    </row>
    <row r="32" spans="1:18" x14ac:dyDescent="0.25">
      <c r="A32" s="28" t="s">
        <v>55</v>
      </c>
      <c r="B32" s="30" t="s">
        <v>51</v>
      </c>
      <c r="D32" s="36">
        <f ca="1"/>
        <v>4</v>
      </c>
      <c r="E32" s="37">
        <f ca="1"/>
        <v>257142.85714285719</v>
      </c>
      <c r="F32" s="37">
        <f ca="1"/>
        <v>5142.857142857144</v>
      </c>
      <c r="G32" s="37">
        <f ca="1"/>
        <v>64285.714285714283</v>
      </c>
      <c r="H32" s="37">
        <f ca="1"/>
        <v>69428.57142857142</v>
      </c>
      <c r="I32" s="37">
        <f ca="1"/>
        <v>192857.1428571429</v>
      </c>
      <c r="J32" s="37">
        <f ca="1"/>
        <v>11340.000000000002</v>
      </c>
      <c r="K32" s="37">
        <f ca="1"/>
        <v>64285.714285714283</v>
      </c>
      <c r="L32" s="37">
        <f ca="1"/>
        <v>75625.71428571429</v>
      </c>
      <c r="M32" s="37">
        <f ca="1"/>
        <v>192857.1428571429</v>
      </c>
      <c r="N32" s="38">
        <f ca="1"/>
        <v>3.2100000000000004E-2</v>
      </c>
      <c r="O32" s="38">
        <f ca="1"/>
        <v>0.88127791711736214</v>
      </c>
      <c r="P32" s="37">
        <f ca="1"/>
        <v>4532.2864308892922</v>
      </c>
      <c r="Q32" s="37">
        <f ca="1"/>
        <v>9993.691580110888</v>
      </c>
      <c r="R32" s="84">
        <f ca="1"/>
        <v>5461.4051492215958</v>
      </c>
    </row>
    <row r="33" spans="1:18" x14ac:dyDescent="0.25">
      <c r="A33" s="28" t="s">
        <v>56</v>
      </c>
      <c r="B33" s="30" t="s">
        <v>52</v>
      </c>
      <c r="D33" s="36">
        <f ca="1"/>
        <v>5</v>
      </c>
      <c r="E33" s="37">
        <f ca="1"/>
        <v>192857.1428571429</v>
      </c>
      <c r="F33" s="37">
        <f ca="1"/>
        <v>3857.1428571428582</v>
      </c>
      <c r="G33" s="37">
        <f ca="1"/>
        <v>64285.714285714283</v>
      </c>
      <c r="H33" s="37">
        <f ca="1"/>
        <v>68142.857142857145</v>
      </c>
      <c r="I33" s="37">
        <f ca="1"/>
        <v>128571.42857142861</v>
      </c>
      <c r="J33" s="37">
        <f ca="1"/>
        <v>8505.0000000000018</v>
      </c>
      <c r="K33" s="37">
        <f ca="1"/>
        <v>64285.714285714283</v>
      </c>
      <c r="L33" s="37">
        <f ca="1"/>
        <v>72790.71428571429</v>
      </c>
      <c r="M33" s="37">
        <f ca="1"/>
        <v>128571.42857142861</v>
      </c>
      <c r="N33" s="38">
        <f ca="1"/>
        <v>3.2100000000000004E-2</v>
      </c>
      <c r="O33" s="38">
        <f ca="1"/>
        <v>0.85386873085685711</v>
      </c>
      <c r="P33" s="37">
        <f ca="1"/>
        <v>3293.4936761621639</v>
      </c>
      <c r="Q33" s="37">
        <f ca="1"/>
        <v>7262.1535559375716</v>
      </c>
      <c r="R33" s="84">
        <f ca="1"/>
        <v>3968.6598797754077</v>
      </c>
    </row>
    <row r="34" spans="1:18" x14ac:dyDescent="0.25">
      <c r="A34" s="28" t="s">
        <v>57</v>
      </c>
      <c r="B34" s="30" t="s">
        <v>39</v>
      </c>
      <c r="D34" s="36">
        <f ca="1"/>
        <v>6</v>
      </c>
      <c r="E34" s="37">
        <f ca="1"/>
        <v>128571.42857142861</v>
      </c>
      <c r="F34" s="37">
        <f ca="1"/>
        <v>2571.428571428572</v>
      </c>
      <c r="G34" s="37">
        <f ca="1"/>
        <v>64285.714285714283</v>
      </c>
      <c r="H34" s="37">
        <f ca="1"/>
        <v>66857.142857142855</v>
      </c>
      <c r="I34" s="37">
        <f ca="1"/>
        <v>64285.714285714326</v>
      </c>
      <c r="J34" s="37">
        <f ca="1"/>
        <v>5670.0000000000018</v>
      </c>
      <c r="K34" s="37">
        <f ca="1"/>
        <v>64285.714285714283</v>
      </c>
      <c r="L34" s="37">
        <f ca="1"/>
        <v>69955.71428571429</v>
      </c>
      <c r="M34" s="37">
        <f ca="1"/>
        <v>64285.714285714326</v>
      </c>
      <c r="N34" s="38">
        <f ca="1"/>
        <v>3.2100000000000004E-2</v>
      </c>
      <c r="O34" s="38">
        <f ca="1"/>
        <v>0.82731201516990316</v>
      </c>
      <c r="P34" s="37">
        <f ca="1"/>
        <v>2127.3737532940372</v>
      </c>
      <c r="Q34" s="37">
        <f ca="1"/>
        <v>4690.8591260133526</v>
      </c>
      <c r="R34" s="84">
        <f ca="1"/>
        <v>2563.4853727193154</v>
      </c>
    </row>
    <row r="35" spans="1:18" x14ac:dyDescent="0.25">
      <c r="A35" s="28" t="s">
        <v>58</v>
      </c>
      <c r="B35" s="30" t="s">
        <v>40</v>
      </c>
      <c r="D35" s="36">
        <f ca="1"/>
        <v>7</v>
      </c>
      <c r="E35" s="37">
        <f ca="1"/>
        <v>64285.714285714326</v>
      </c>
      <c r="F35" s="37">
        <f ca="1"/>
        <v>1285.7142857142865</v>
      </c>
      <c r="G35" s="37">
        <f ca="1"/>
        <v>64285.714285714283</v>
      </c>
      <c r="H35" s="37">
        <f ca="1"/>
        <v>65571.428571428565</v>
      </c>
      <c r="I35" s="37">
        <f ca="1"/>
        <v>0</v>
      </c>
      <c r="J35" s="37">
        <f ca="1"/>
        <v>2835.0000000000018</v>
      </c>
      <c r="K35" s="37">
        <f ca="1"/>
        <v>64285.714285714283</v>
      </c>
      <c r="L35" s="37">
        <f ca="1"/>
        <v>67120.71428571429</v>
      </c>
      <c r="M35" s="37">
        <f ca="1"/>
        <v>0</v>
      </c>
      <c r="N35" s="38">
        <f ca="1"/>
        <v>3.2100000000000004E-2</v>
      </c>
      <c r="O35" s="38">
        <f ca="1"/>
        <v>0.80158125682579506</v>
      </c>
      <c r="P35" s="37">
        <f ca="1"/>
        <v>1030.6044730617371</v>
      </c>
      <c r="Q35" s="37">
        <f ca="1"/>
        <v>2272.4828631011305</v>
      </c>
      <c r="R35" s="84">
        <f ca="1"/>
        <v>1241.8783900393935</v>
      </c>
    </row>
    <row r="36" spans="1:18" x14ac:dyDescent="0.25">
      <c r="A36" s="28" t="s">
        <v>59</v>
      </c>
      <c r="B36" s="31" t="s">
        <v>41</v>
      </c>
      <c r="D36" s="36"/>
      <c r="E36" s="37"/>
      <c r="F36" s="37"/>
      <c r="G36" s="37"/>
      <c r="H36" s="37"/>
      <c r="I36" s="37"/>
      <c r="J36" s="37"/>
      <c r="K36" s="37"/>
      <c r="L36" s="37"/>
      <c r="M36" s="37"/>
      <c r="N36" s="38"/>
      <c r="O36" s="38"/>
      <c r="P36" s="37"/>
      <c r="Q36" s="37"/>
      <c r="R36" s="84"/>
    </row>
    <row r="37" spans="1:18" x14ac:dyDescent="0.25">
      <c r="A37" s="28" t="s">
        <v>56</v>
      </c>
      <c r="B37" s="31" t="s">
        <v>42</v>
      </c>
      <c r="D37" s="36"/>
      <c r="E37" s="37"/>
      <c r="F37" s="37"/>
      <c r="G37" s="37"/>
      <c r="H37" s="37"/>
      <c r="I37" s="37"/>
      <c r="J37" s="37"/>
      <c r="K37" s="37"/>
      <c r="L37" s="37"/>
      <c r="M37" s="37"/>
      <c r="N37" s="38"/>
      <c r="O37" s="38"/>
      <c r="P37" s="37"/>
      <c r="Q37" s="37"/>
      <c r="R37" s="84"/>
    </row>
    <row r="38" spans="1:18" x14ac:dyDescent="0.25">
      <c r="A38" s="28" t="s">
        <v>60</v>
      </c>
      <c r="B38" s="31" t="s">
        <v>43</v>
      </c>
      <c r="D38" s="36"/>
      <c r="E38" s="37"/>
      <c r="F38" s="37"/>
      <c r="G38" s="37"/>
      <c r="H38" s="37"/>
      <c r="I38" s="37"/>
      <c r="J38" s="37"/>
      <c r="K38" s="37"/>
      <c r="L38" s="37"/>
      <c r="M38" s="37"/>
      <c r="N38" s="38"/>
      <c r="O38" s="38"/>
      <c r="P38" s="37"/>
      <c r="Q38" s="37"/>
      <c r="R38" s="84"/>
    </row>
    <row r="39" spans="1:18" x14ac:dyDescent="0.25">
      <c r="A39" s="28" t="s">
        <v>63</v>
      </c>
      <c r="B39" s="31" t="s">
        <v>44</v>
      </c>
      <c r="D39" s="36"/>
      <c r="E39" s="37"/>
      <c r="F39" s="37"/>
      <c r="G39" s="37"/>
      <c r="H39" s="37"/>
      <c r="I39" s="37"/>
      <c r="J39" s="37"/>
      <c r="K39" s="37"/>
      <c r="L39" s="37"/>
      <c r="M39" s="37"/>
      <c r="N39" s="38"/>
      <c r="O39" s="38"/>
      <c r="P39" s="37"/>
      <c r="Q39" s="37"/>
      <c r="R39" s="84"/>
    </row>
    <row r="40" spans="1:18" x14ac:dyDescent="0.25">
      <c r="A40" s="28" t="s">
        <v>61</v>
      </c>
      <c r="B40" s="31" t="s">
        <v>45</v>
      </c>
      <c r="D40" s="36"/>
      <c r="E40" s="37"/>
      <c r="F40" s="37"/>
      <c r="G40" s="37"/>
      <c r="H40" s="37"/>
      <c r="I40" s="37"/>
      <c r="J40" s="37"/>
      <c r="K40" s="37"/>
      <c r="L40" s="37"/>
      <c r="M40" s="37"/>
      <c r="N40" s="38"/>
      <c r="O40" s="38"/>
      <c r="P40" s="37"/>
      <c r="Q40" s="37"/>
      <c r="R40" s="84"/>
    </row>
    <row r="41" spans="1:18" x14ac:dyDescent="0.25">
      <c r="A41" s="28" t="s">
        <v>65</v>
      </c>
      <c r="B41" s="31" t="s">
        <v>46</v>
      </c>
      <c r="D41" s="36"/>
      <c r="E41" s="37"/>
      <c r="F41" s="37"/>
      <c r="G41" s="37"/>
      <c r="H41" s="37"/>
      <c r="I41" s="37"/>
      <c r="J41" s="37"/>
      <c r="K41" s="37"/>
      <c r="L41" s="37"/>
      <c r="M41" s="37"/>
      <c r="N41" s="38"/>
      <c r="O41" s="38"/>
      <c r="P41" s="37"/>
      <c r="Q41" s="37"/>
      <c r="R41" s="84"/>
    </row>
    <row r="42" spans="1:18" x14ac:dyDescent="0.25">
      <c r="A42" s="28" t="s">
        <v>66</v>
      </c>
      <c r="B42" s="31" t="s">
        <v>47</v>
      </c>
      <c r="D42" s="36"/>
      <c r="E42" s="37"/>
      <c r="F42" s="37"/>
      <c r="G42" s="37"/>
      <c r="H42" s="37"/>
      <c r="I42" s="37"/>
      <c r="J42" s="37"/>
      <c r="K42" s="37"/>
      <c r="L42" s="37"/>
      <c r="M42" s="37"/>
      <c r="N42" s="38"/>
      <c r="O42" s="38"/>
      <c r="P42" s="37"/>
      <c r="Q42" s="37"/>
      <c r="R42" s="84"/>
    </row>
    <row r="43" spans="1:18" x14ac:dyDescent="0.25">
      <c r="A43" s="94" t="s">
        <v>67</v>
      </c>
      <c r="B43" s="28" t="s">
        <v>64</v>
      </c>
      <c r="D43" s="36"/>
      <c r="E43" s="37"/>
      <c r="F43" s="37"/>
      <c r="G43" s="37"/>
      <c r="H43" s="37"/>
      <c r="I43" s="37"/>
      <c r="J43" s="37"/>
      <c r="K43" s="37"/>
      <c r="L43" s="37"/>
      <c r="M43" s="37"/>
      <c r="N43" s="38"/>
      <c r="O43" s="38"/>
      <c r="P43" s="37"/>
      <c r="Q43" s="37"/>
      <c r="R43" s="84"/>
    </row>
    <row r="44" spans="1:18" x14ac:dyDescent="0.25">
      <c r="A44" s="94"/>
      <c r="B44" s="32"/>
      <c r="D44" s="36"/>
      <c r="E44" s="37"/>
      <c r="F44" s="37"/>
      <c r="G44" s="37"/>
      <c r="H44" s="37"/>
      <c r="I44" s="37"/>
      <c r="J44" s="37"/>
      <c r="K44" s="37"/>
      <c r="L44" s="37"/>
      <c r="M44" s="37"/>
      <c r="N44" s="38"/>
      <c r="O44" s="38"/>
      <c r="P44" s="37"/>
      <c r="Q44" s="37"/>
      <c r="R44" s="84"/>
    </row>
    <row r="45" spans="1:18" x14ac:dyDescent="0.25">
      <c r="D45" s="36"/>
      <c r="E45" s="37"/>
      <c r="F45" s="37"/>
      <c r="G45" s="37"/>
      <c r="H45" s="37"/>
      <c r="I45" s="37"/>
      <c r="J45" s="37"/>
      <c r="K45" s="37"/>
      <c r="L45" s="37"/>
      <c r="M45" s="37"/>
      <c r="N45" s="38"/>
      <c r="O45" s="38"/>
      <c r="P45" s="37"/>
      <c r="Q45" s="37"/>
      <c r="R45" s="84"/>
    </row>
    <row r="46" spans="1:18" x14ac:dyDescent="0.25">
      <c r="D46" s="36"/>
      <c r="E46" s="37"/>
      <c r="F46" s="37"/>
      <c r="G46" s="37"/>
      <c r="H46" s="37"/>
      <c r="I46" s="37"/>
      <c r="J46" s="37"/>
      <c r="K46" s="37"/>
      <c r="L46" s="37"/>
      <c r="M46" s="37"/>
      <c r="N46" s="38"/>
      <c r="O46" s="38"/>
      <c r="P46" s="37"/>
      <c r="Q46" s="37"/>
      <c r="R46" s="84"/>
    </row>
    <row r="47" spans="1:18" x14ac:dyDescent="0.25">
      <c r="D47" s="36"/>
      <c r="E47" s="37"/>
      <c r="F47" s="37"/>
      <c r="G47" s="37"/>
      <c r="H47" s="37"/>
      <c r="I47" s="37"/>
      <c r="J47" s="37"/>
      <c r="K47" s="37"/>
      <c r="L47" s="37"/>
      <c r="M47" s="37"/>
      <c r="N47" s="38"/>
      <c r="O47" s="38"/>
      <c r="P47" s="37"/>
      <c r="Q47" s="37"/>
      <c r="R47" s="84"/>
    </row>
    <row r="48" spans="1:18" x14ac:dyDescent="0.25">
      <c r="D48" s="36"/>
      <c r="E48" s="37"/>
      <c r="F48" s="37"/>
      <c r="G48" s="37"/>
      <c r="H48" s="37"/>
      <c r="I48" s="37"/>
      <c r="J48" s="37"/>
      <c r="K48" s="37"/>
      <c r="L48" s="37"/>
      <c r="M48" s="37"/>
      <c r="N48" s="38"/>
      <c r="O48" s="38"/>
      <c r="P48" s="37"/>
      <c r="Q48" s="37"/>
      <c r="R48" s="84"/>
    </row>
    <row r="49" spans="4:18" x14ac:dyDescent="0.25">
      <c r="D49" s="36"/>
      <c r="E49" s="37"/>
      <c r="F49" s="37"/>
      <c r="G49" s="37"/>
      <c r="H49" s="37"/>
      <c r="I49" s="37"/>
      <c r="J49" s="37"/>
      <c r="K49" s="37"/>
      <c r="L49" s="37"/>
      <c r="M49" s="37"/>
      <c r="N49" s="38"/>
      <c r="O49" s="38"/>
      <c r="P49" s="37"/>
      <c r="Q49" s="37"/>
      <c r="R49" s="84"/>
    </row>
    <row r="50" spans="4:18" x14ac:dyDescent="0.25">
      <c r="D50" s="36"/>
      <c r="E50" s="37"/>
      <c r="F50" s="37"/>
      <c r="G50" s="37"/>
      <c r="H50" s="37"/>
      <c r="I50" s="37"/>
      <c r="J50" s="37"/>
      <c r="K50" s="37"/>
      <c r="L50" s="37"/>
      <c r="M50" s="37"/>
      <c r="N50" s="38"/>
      <c r="O50" s="38"/>
      <c r="P50" s="37"/>
      <c r="Q50" s="37"/>
      <c r="R50" s="84"/>
    </row>
    <row r="51" spans="4:18" x14ac:dyDescent="0.25">
      <c r="D51" s="36"/>
      <c r="E51" s="37"/>
      <c r="F51" s="37"/>
      <c r="G51" s="37"/>
      <c r="H51" s="37"/>
      <c r="I51" s="37"/>
      <c r="J51" s="37"/>
      <c r="K51" s="37"/>
      <c r="L51" s="37"/>
      <c r="M51" s="37"/>
      <c r="N51" s="38"/>
      <c r="O51" s="38"/>
      <c r="P51" s="37"/>
      <c r="Q51" s="37"/>
      <c r="R51" s="84"/>
    </row>
    <row r="52" spans="4:18" x14ac:dyDescent="0.25">
      <c r="D52" s="36"/>
      <c r="E52" s="37"/>
      <c r="F52" s="37"/>
      <c r="G52" s="37"/>
      <c r="H52" s="37"/>
      <c r="I52" s="37"/>
      <c r="J52" s="37"/>
      <c r="K52" s="37"/>
      <c r="L52" s="37"/>
      <c r="M52" s="37"/>
      <c r="N52" s="38"/>
      <c r="O52" s="38"/>
      <c r="P52" s="37"/>
      <c r="Q52" s="37"/>
      <c r="R52" s="84"/>
    </row>
    <row r="53" spans="4:18" x14ac:dyDescent="0.25">
      <c r="D53" s="36"/>
      <c r="E53" s="37"/>
      <c r="F53" s="37"/>
      <c r="G53" s="37"/>
      <c r="H53" s="37"/>
      <c r="I53" s="37"/>
      <c r="J53" s="37"/>
      <c r="K53" s="37"/>
      <c r="L53" s="37"/>
      <c r="M53" s="37"/>
      <c r="N53" s="38"/>
      <c r="O53" s="38"/>
      <c r="P53" s="37"/>
      <c r="Q53" s="37"/>
      <c r="R53" s="84"/>
    </row>
    <row r="54" spans="4:18" x14ac:dyDescent="0.25">
      <c r="D54" s="36"/>
      <c r="E54" s="37"/>
      <c r="F54" s="37"/>
      <c r="G54" s="37"/>
      <c r="H54" s="37"/>
      <c r="I54" s="37"/>
      <c r="J54" s="37"/>
      <c r="K54" s="37"/>
      <c r="L54" s="37"/>
      <c r="M54" s="37"/>
      <c r="N54" s="38"/>
      <c r="O54" s="38"/>
      <c r="P54" s="37"/>
      <c r="Q54" s="37"/>
      <c r="R54" s="84"/>
    </row>
    <row r="55" spans="4:18" x14ac:dyDescent="0.25">
      <c r="D55" s="36"/>
      <c r="E55" s="37"/>
      <c r="F55" s="37"/>
      <c r="G55" s="37"/>
      <c r="H55" s="37"/>
      <c r="I55" s="37"/>
      <c r="J55" s="37"/>
      <c r="K55" s="37"/>
      <c r="L55" s="37"/>
      <c r="M55" s="37"/>
      <c r="N55" s="38"/>
      <c r="O55" s="38"/>
      <c r="P55" s="37"/>
      <c r="Q55" s="37"/>
      <c r="R55" s="84"/>
    </row>
    <row r="56" spans="4:18" x14ac:dyDescent="0.25">
      <c r="D56" s="36"/>
      <c r="E56" s="37"/>
      <c r="F56" s="37"/>
      <c r="G56" s="37"/>
      <c r="H56" s="37"/>
      <c r="I56" s="37"/>
      <c r="J56" s="37"/>
      <c r="K56" s="37"/>
      <c r="L56" s="37"/>
      <c r="M56" s="37"/>
      <c r="N56" s="38"/>
      <c r="O56" s="38"/>
      <c r="P56" s="37"/>
      <c r="Q56" s="37"/>
      <c r="R56" s="84"/>
    </row>
    <row r="57" spans="4:18" x14ac:dyDescent="0.25">
      <c r="D57" s="36"/>
      <c r="E57" s="37"/>
      <c r="F57" s="37"/>
      <c r="G57" s="37"/>
      <c r="H57" s="37"/>
      <c r="I57" s="37"/>
      <c r="J57" s="37"/>
      <c r="K57" s="37"/>
      <c r="L57" s="37"/>
      <c r="M57" s="37"/>
      <c r="N57" s="38"/>
      <c r="O57" s="38"/>
      <c r="P57" s="37"/>
      <c r="Q57" s="37"/>
      <c r="R57" s="84"/>
    </row>
    <row r="58" spans="4:18" ht="13" thickBot="1" x14ac:dyDescent="0.3">
      <c r="D58" s="40"/>
      <c r="E58" s="41"/>
      <c r="F58" s="41"/>
      <c r="G58" s="41"/>
      <c r="H58" s="41"/>
      <c r="I58" s="41"/>
      <c r="J58" s="41"/>
      <c r="K58" s="41"/>
      <c r="L58" s="41"/>
      <c r="M58" s="41"/>
      <c r="N58" s="42"/>
      <c r="O58" s="42"/>
      <c r="P58" s="41"/>
      <c r="Q58" s="41"/>
      <c r="R58" s="61"/>
    </row>
    <row r="59" spans="4:18" x14ac:dyDescent="0.25">
      <c r="E59" s="24"/>
      <c r="F59" s="24"/>
      <c r="G59" s="24"/>
      <c r="H59" s="24"/>
      <c r="I59" s="24"/>
      <c r="J59" s="24"/>
      <c r="K59" s="24"/>
      <c r="L59" s="24"/>
      <c r="M59" s="24"/>
      <c r="N59" s="25"/>
      <c r="O59" s="25"/>
      <c r="P59" s="24"/>
      <c r="Q59" s="24"/>
      <c r="R59" s="24"/>
    </row>
    <row r="60" spans="4:18" x14ac:dyDescent="0.25"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</row>
  </sheetData>
  <mergeCells count="1">
    <mergeCell ref="A43:A44"/>
  </mergeCells>
  <hyperlinks>
    <hyperlink ref="G6" r:id="rId1" xr:uid="{8E546BCC-6D20-4F06-9FF1-BDA1589B0365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9EED0-FE4A-4D5B-9E74-7D02766DB2B2}">
  <dimension ref="A1:T31"/>
  <sheetViews>
    <sheetView topLeftCell="J1" workbookViewId="0">
      <selection activeCell="P1" sqref="P1:R1048576"/>
    </sheetView>
  </sheetViews>
  <sheetFormatPr defaultRowHeight="12.5" x14ac:dyDescent="0.25"/>
  <cols>
    <col min="1" max="1" width="12.54296875" customWidth="1"/>
    <col min="2" max="2" width="14.81640625" style="6" bestFit="1" customWidth="1"/>
    <col min="3" max="3" width="12.453125" style="6" customWidth="1"/>
    <col min="4" max="5" width="12.54296875" style="6" customWidth="1"/>
    <col min="6" max="6" width="14.81640625" style="6" bestFit="1" customWidth="1"/>
    <col min="7" max="7" width="13.26953125" bestFit="1" customWidth="1"/>
    <col min="8" max="9" width="12.54296875" customWidth="1"/>
    <col min="10" max="10" width="14.81640625" bestFit="1" customWidth="1"/>
    <col min="11" max="14" width="12.54296875" customWidth="1"/>
    <col min="15" max="15" width="15.7265625" bestFit="1" customWidth="1"/>
    <col min="16" max="16" width="11.54296875" bestFit="1" customWidth="1"/>
    <col min="17" max="17" width="12" style="6" bestFit="1" customWidth="1"/>
    <col min="18" max="18" width="10.54296875" bestFit="1" customWidth="1"/>
  </cols>
  <sheetData>
    <row r="1" spans="1:20" ht="26" x14ac:dyDescent="0.3">
      <c r="A1" s="13" t="s">
        <v>34</v>
      </c>
      <c r="B1" s="14" t="s">
        <v>35</v>
      </c>
      <c r="C1" s="14" t="s">
        <v>48</v>
      </c>
      <c r="D1" s="14" t="s">
        <v>51</v>
      </c>
      <c r="E1" s="14" t="s">
        <v>52</v>
      </c>
      <c r="F1" s="14" t="s">
        <v>39</v>
      </c>
      <c r="G1" s="14" t="s">
        <v>40</v>
      </c>
      <c r="H1" s="8" t="s">
        <v>41</v>
      </c>
      <c r="I1" s="8" t="s">
        <v>42</v>
      </c>
      <c r="J1" s="8" t="s">
        <v>43</v>
      </c>
      <c r="K1" s="8" t="s">
        <v>44</v>
      </c>
      <c r="L1" s="8" t="s">
        <v>45</v>
      </c>
      <c r="M1" s="8" t="s">
        <v>46</v>
      </c>
      <c r="N1" s="8" t="s">
        <v>47</v>
      </c>
      <c r="O1" s="8" t="s">
        <v>64</v>
      </c>
      <c r="P1" s="8"/>
      <c r="Q1" s="89"/>
      <c r="R1" s="8"/>
    </row>
    <row r="2" spans="1:20" x14ac:dyDescent="0.25">
      <c r="A2" s="3">
        <v>1</v>
      </c>
      <c r="B2" s="5">
        <f>'Annuiteit overzicht'!B3</f>
        <v>450000</v>
      </c>
      <c r="C2" s="10">
        <f>B2*'Annuiteit overzicht'!$B$5</f>
        <v>9000</v>
      </c>
      <c r="D2" s="7">
        <f>E2-C2</f>
        <v>60530.380246394794</v>
      </c>
      <c r="E2" s="1">
        <f>'Annuiteit overzicht'!$B$12</f>
        <v>69530.380246394794</v>
      </c>
      <c r="F2" s="5">
        <f>B2-D2</f>
        <v>389469.61975360522</v>
      </c>
      <c r="G2" s="11">
        <f>B2*(SUM('Annuiteit overzicht'!$B$6,'Annuiteit overzicht'!$B$7))</f>
        <v>19845</v>
      </c>
      <c r="H2" s="1">
        <f>I2-G2</f>
        <v>56269.337188519465</v>
      </c>
      <c r="I2" s="1">
        <f>'Annuiteit overzicht'!$B$13</f>
        <v>76114.337188519465</v>
      </c>
      <c r="J2" s="11">
        <f>B2-H2</f>
        <v>393730.66281148052</v>
      </c>
      <c r="K2" s="9">
        <f>'Annuiteit overzicht'!$B$6+'Annuiteit overzicht'!$B$8</f>
        <v>3.2100000000000004E-2</v>
      </c>
      <c r="L2" s="9">
        <f>1/(1+K2)^A2</f>
        <v>0.9688983625617672</v>
      </c>
      <c r="M2" s="12">
        <f t="shared" ref="M2:M31" si="0">C2*L2</f>
        <v>8720.0852630559057</v>
      </c>
      <c r="N2" s="11">
        <f t="shared" ref="N2:N31" si="1">G2*L2</f>
        <v>19227.78800503827</v>
      </c>
      <c r="O2" s="11">
        <f>N2-M2</f>
        <v>10507.702741982364</v>
      </c>
      <c r="P2" s="11"/>
      <c r="R2" s="11"/>
      <c r="T2" s="9"/>
    </row>
    <row r="3" spans="1:20" x14ac:dyDescent="0.25">
      <c r="A3" s="3">
        <v>2</v>
      </c>
      <c r="B3" s="5">
        <f>F2</f>
        <v>389469.61975360522</v>
      </c>
      <c r="C3" s="10">
        <f>B3*'Annuiteit overzicht'!$B$5</f>
        <v>7789.3923950721046</v>
      </c>
      <c r="D3" s="7">
        <f t="shared" ref="D3:D31" si="2">E3-C3</f>
        <v>61740.987851322687</v>
      </c>
      <c r="E3" s="1">
        <f>'Annuiteit overzicht'!$B$12</f>
        <v>69530.380246394794</v>
      </c>
      <c r="F3" s="5">
        <f t="shared" ref="F3:F20" si="3">B3-D3</f>
        <v>327728.63190228253</v>
      </c>
      <c r="G3" s="11">
        <f>J2*(SUM('Annuiteit overzicht'!$B$6,'Annuiteit overzicht'!$B$7))</f>
        <v>17363.522229986291</v>
      </c>
      <c r="H3" s="1">
        <f t="shared" ref="H3:H31" si="4">I3-G3</f>
        <v>58750.81495853317</v>
      </c>
      <c r="I3" s="1">
        <f>'Annuiteit overzicht'!$B$13</f>
        <v>76114.337188519465</v>
      </c>
      <c r="J3" s="11">
        <f>J2-H3</f>
        <v>334979.84785294737</v>
      </c>
      <c r="K3" s="9">
        <f>'Annuiteit overzicht'!$B$6+'Annuiteit overzicht'!$B$8</f>
        <v>3.2100000000000004E-2</v>
      </c>
      <c r="L3" s="9">
        <f t="shared" ref="L3:L20" si="5">1/(1+K3)^A3</f>
        <v>0.93876403697487376</v>
      </c>
      <c r="M3" s="12">
        <f t="shared" si="0"/>
        <v>7312.4014503792696</v>
      </c>
      <c r="N3" s="11">
        <f t="shared" si="1"/>
        <v>16300.250224724892</v>
      </c>
      <c r="O3" s="11">
        <f t="shared" ref="O3:O31" si="6">N3-M3</f>
        <v>8987.8487743456226</v>
      </c>
      <c r="P3" s="11"/>
      <c r="R3" s="11"/>
      <c r="T3" s="9"/>
    </row>
    <row r="4" spans="1:20" x14ac:dyDescent="0.25">
      <c r="A4" s="3">
        <v>3</v>
      </c>
      <c r="B4" s="5">
        <f t="shared" ref="B4:B20" si="7">F3</f>
        <v>327728.63190228253</v>
      </c>
      <c r="C4" s="10">
        <f>B4*'Annuiteit overzicht'!$B$5</f>
        <v>6554.5726380456508</v>
      </c>
      <c r="D4" s="7">
        <f t="shared" si="2"/>
        <v>62975.807608349147</v>
      </c>
      <c r="E4" s="1">
        <f>'Annuiteit overzicht'!$B$12</f>
        <v>69530.380246394794</v>
      </c>
      <c r="F4" s="5">
        <f t="shared" si="3"/>
        <v>264752.8242939334</v>
      </c>
      <c r="G4" s="11">
        <f>J3*(SUM('Annuiteit overzicht'!$B$6,'Annuiteit overzicht'!$B$7))</f>
        <v>14772.611290314979</v>
      </c>
      <c r="H4" s="1">
        <f t="shared" si="4"/>
        <v>61341.725898204488</v>
      </c>
      <c r="I4" s="1">
        <f>'Annuiteit overzicht'!$B$13</f>
        <v>76114.337188519465</v>
      </c>
      <c r="J4" s="11">
        <f t="shared" ref="J4:J20" si="8">J3-H4</f>
        <v>273638.12195474288</v>
      </c>
      <c r="K4" s="9">
        <f>'Annuiteit overzicht'!$B$6+'Annuiteit overzicht'!$B$8</f>
        <v>3.2100000000000004E-2</v>
      </c>
      <c r="L4" s="9">
        <f t="shared" si="5"/>
        <v>0.90956693825682955</v>
      </c>
      <c r="M4" s="12">
        <f t="shared" si="0"/>
        <v>5961.8225659691725</v>
      </c>
      <c r="N4" s="11">
        <f t="shared" si="1"/>
        <v>13436.678821390067</v>
      </c>
      <c r="O4" s="11">
        <f t="shared" si="6"/>
        <v>7474.8562554208947</v>
      </c>
      <c r="P4" s="11"/>
      <c r="R4" s="11"/>
      <c r="T4" s="9"/>
    </row>
    <row r="5" spans="1:20" x14ac:dyDescent="0.25">
      <c r="A5" s="3">
        <v>4</v>
      </c>
      <c r="B5" s="5">
        <f>F4</f>
        <v>264752.8242939334</v>
      </c>
      <c r="C5" s="10">
        <f>B5*'Annuiteit overzicht'!$B$5</f>
        <v>5295.0564858786684</v>
      </c>
      <c r="D5" s="7">
        <f t="shared" si="2"/>
        <v>64235.323760516127</v>
      </c>
      <c r="E5" s="1">
        <f>'Annuiteit overzicht'!$B$12</f>
        <v>69530.380246394794</v>
      </c>
      <c r="F5" s="5">
        <f t="shared" si="3"/>
        <v>200517.50053341727</v>
      </c>
      <c r="G5" s="11">
        <f>J4*(SUM('Annuiteit overzicht'!$B$6,'Annuiteit overzicht'!$B$7))</f>
        <v>12067.441178204161</v>
      </c>
      <c r="H5" s="1">
        <f t="shared" si="4"/>
        <v>64046.896010315308</v>
      </c>
      <c r="I5" s="1">
        <f>'Annuiteit overzicht'!$B$13</f>
        <v>76114.337188519465</v>
      </c>
      <c r="J5" s="11">
        <f t="shared" si="8"/>
        <v>209591.22594442757</v>
      </c>
      <c r="K5" s="9">
        <f>'Annuiteit overzicht'!$B$6+'Annuiteit overzicht'!$B$8</f>
        <v>3.2100000000000004E-2</v>
      </c>
      <c r="L5" s="9">
        <f t="shared" si="5"/>
        <v>0.88127791711736214</v>
      </c>
      <c r="M5" s="12">
        <f t="shared" si="0"/>
        <v>4666.4163508939318</v>
      </c>
      <c r="N5" s="11">
        <f t="shared" si="1"/>
        <v>10634.769426464049</v>
      </c>
      <c r="O5" s="11">
        <f t="shared" si="6"/>
        <v>5968.3530755701167</v>
      </c>
      <c r="P5" s="11"/>
      <c r="R5" s="11"/>
      <c r="T5" s="9"/>
    </row>
    <row r="6" spans="1:20" x14ac:dyDescent="0.25">
      <c r="A6" s="3">
        <v>5</v>
      </c>
      <c r="B6" s="5">
        <f t="shared" si="7"/>
        <v>200517.50053341727</v>
      </c>
      <c r="C6" s="10">
        <f>B6*'Annuiteit overzicht'!$B$5</f>
        <v>4010.3500106683455</v>
      </c>
      <c r="D6" s="7">
        <f t="shared" si="2"/>
        <v>65520.030235726452</v>
      </c>
      <c r="E6" s="1">
        <f>'Annuiteit overzicht'!$B$12</f>
        <v>69530.380246394794</v>
      </c>
      <c r="F6" s="5">
        <f t="shared" si="3"/>
        <v>134997.47029769083</v>
      </c>
      <c r="G6" s="11">
        <f>J5*(SUM('Annuiteit overzicht'!$B$6,'Annuiteit overzicht'!$B$7))</f>
        <v>9242.9730641492552</v>
      </c>
      <c r="H6" s="1">
        <f t="shared" si="4"/>
        <v>66871.364124370215</v>
      </c>
      <c r="I6" s="1">
        <f>'Annuiteit overzicht'!$B$13</f>
        <v>76114.337188519465</v>
      </c>
      <c r="J6" s="11">
        <f t="shared" si="8"/>
        <v>142719.86182005735</v>
      </c>
      <c r="K6" s="9">
        <f>'Annuiteit overzicht'!$B$6+'Annuiteit overzicht'!$B$8</f>
        <v>3.2100000000000004E-2</v>
      </c>
      <c r="L6" s="9">
        <f t="shared" si="5"/>
        <v>0.85386873085685711</v>
      </c>
      <c r="M6" s="12">
        <f t="shared" si="0"/>
        <v>3424.3124739011637</v>
      </c>
      <c r="N6" s="11">
        <f t="shared" si="1"/>
        <v>7892.2856796292399</v>
      </c>
      <c r="O6" s="11">
        <f t="shared" si="6"/>
        <v>4467.9732057280762</v>
      </c>
      <c r="P6" s="11"/>
      <c r="R6" s="11"/>
      <c r="T6" s="9"/>
    </row>
    <row r="7" spans="1:20" x14ac:dyDescent="0.25">
      <c r="A7" s="3">
        <v>6</v>
      </c>
      <c r="B7" s="5">
        <f t="shared" si="7"/>
        <v>134997.47029769083</v>
      </c>
      <c r="C7" s="10">
        <f>B7*'Annuiteit overzicht'!$B$5</f>
        <v>2699.9494059538165</v>
      </c>
      <c r="D7" s="7">
        <f t="shared" si="2"/>
        <v>66830.430840440982</v>
      </c>
      <c r="E7" s="1">
        <f>'Annuiteit overzicht'!$B$12</f>
        <v>69530.380246394794</v>
      </c>
      <c r="F7" s="5">
        <f t="shared" si="3"/>
        <v>68167.039457249848</v>
      </c>
      <c r="G7" s="11">
        <f>J6*(SUM('Annuiteit overzicht'!$B$6,'Annuiteit overzicht'!$B$7))</f>
        <v>6293.9459062645292</v>
      </c>
      <c r="H7" s="1">
        <f t="shared" si="4"/>
        <v>69820.391282254932</v>
      </c>
      <c r="I7" s="1">
        <f>'Annuiteit overzicht'!$B$13</f>
        <v>76114.337188519465</v>
      </c>
      <c r="J7" s="11">
        <f t="shared" si="8"/>
        <v>72899.470537802423</v>
      </c>
      <c r="K7" s="9">
        <f>'Annuiteit overzicht'!$B$6+'Annuiteit overzicht'!$B$8</f>
        <v>3.2100000000000004E-2</v>
      </c>
      <c r="L7" s="9">
        <f t="shared" si="5"/>
        <v>0.82731201516990316</v>
      </c>
      <c r="M7" s="12">
        <f t="shared" si="0"/>
        <v>2233.7005838964346</v>
      </c>
      <c r="N7" s="11">
        <f t="shared" si="1"/>
        <v>5207.0570710820703</v>
      </c>
      <c r="O7" s="11">
        <f t="shared" si="6"/>
        <v>2973.3564871856356</v>
      </c>
      <c r="P7" s="11"/>
      <c r="R7" s="11"/>
      <c r="T7" s="9"/>
    </row>
    <row r="8" spans="1:20" x14ac:dyDescent="0.25">
      <c r="A8" s="3">
        <v>7</v>
      </c>
      <c r="B8" s="5">
        <f t="shared" si="7"/>
        <v>68167.039457249848</v>
      </c>
      <c r="C8" s="10">
        <f>B8*'Annuiteit overzicht'!$B$5</f>
        <v>1363.340789144997</v>
      </c>
      <c r="D8" s="7">
        <f t="shared" si="2"/>
        <v>68167.039457249804</v>
      </c>
      <c r="E8" s="1">
        <f>'Annuiteit overzicht'!$B$12</f>
        <v>69530.380246394794</v>
      </c>
      <c r="F8" s="5">
        <f t="shared" si="3"/>
        <v>0</v>
      </c>
      <c r="G8" s="11">
        <f>J7*(SUM('Annuiteit overzicht'!$B$6,'Annuiteit overzicht'!$B$7))</f>
        <v>3214.8666507170869</v>
      </c>
      <c r="H8" s="1">
        <f t="shared" si="4"/>
        <v>72899.470537802379</v>
      </c>
      <c r="I8" s="1">
        <f>'Annuiteit overzicht'!$B$13</f>
        <v>76114.337188519465</v>
      </c>
      <c r="J8" s="11">
        <f t="shared" si="8"/>
        <v>0</v>
      </c>
      <c r="K8" s="9">
        <f>'Annuiteit overzicht'!$B$6+'Annuiteit overzicht'!$B$8</f>
        <v>3.2100000000000004E-2</v>
      </c>
      <c r="L8" s="9">
        <f t="shared" si="5"/>
        <v>0.80158125682579506</v>
      </c>
      <c r="M8" s="12">
        <f t="shared" si="0"/>
        <v>1092.8284232447179</v>
      </c>
      <c r="N8" s="11">
        <f t="shared" si="1"/>
        <v>2576.9768504091367</v>
      </c>
      <c r="O8" s="11">
        <f t="shared" si="6"/>
        <v>1484.1484271644188</v>
      </c>
      <c r="P8" s="11"/>
      <c r="R8" s="11"/>
      <c r="T8" s="9"/>
    </row>
    <row r="9" spans="1:20" x14ac:dyDescent="0.25">
      <c r="A9" s="3">
        <v>8</v>
      </c>
      <c r="B9" s="5">
        <f t="shared" si="7"/>
        <v>0</v>
      </c>
      <c r="C9" s="10">
        <f>B9*'Annuiteit overzicht'!$B$5</f>
        <v>0</v>
      </c>
      <c r="D9" s="7">
        <f t="shared" si="2"/>
        <v>69530.380246394794</v>
      </c>
      <c r="E9" s="1">
        <f>'Annuiteit overzicht'!$B$12</f>
        <v>69530.380246394794</v>
      </c>
      <c r="F9" s="5">
        <f t="shared" si="3"/>
        <v>-69530.380246394794</v>
      </c>
      <c r="G9" s="11">
        <f>J8*(SUM('Annuiteit overzicht'!$B$6,'Annuiteit overzicht'!$B$7))</f>
        <v>0</v>
      </c>
      <c r="H9" s="1">
        <f t="shared" si="4"/>
        <v>76114.337188519465</v>
      </c>
      <c r="I9" s="1">
        <f>'Annuiteit overzicht'!$B$13</f>
        <v>76114.337188519465</v>
      </c>
      <c r="J9" s="11">
        <f t="shared" si="8"/>
        <v>-76114.337188519465</v>
      </c>
      <c r="K9" s="9">
        <f>'Annuiteit overzicht'!$B$6+'Annuiteit overzicht'!$B$8</f>
        <v>3.2100000000000004E-2</v>
      </c>
      <c r="L9" s="9">
        <f t="shared" si="5"/>
        <v>0.77665076719871629</v>
      </c>
      <c r="M9" s="12">
        <f t="shared" si="0"/>
        <v>0</v>
      </c>
      <c r="N9" s="11">
        <f t="shared" si="1"/>
        <v>0</v>
      </c>
      <c r="O9" s="11">
        <f t="shared" si="6"/>
        <v>0</v>
      </c>
      <c r="P9" s="11"/>
      <c r="R9" s="11"/>
      <c r="T9" s="9"/>
    </row>
    <row r="10" spans="1:20" x14ac:dyDescent="0.25">
      <c r="A10" s="3">
        <v>9</v>
      </c>
      <c r="B10" s="5">
        <f t="shared" si="7"/>
        <v>-69530.380246394794</v>
      </c>
      <c r="C10" s="10">
        <f>B10*'Annuiteit overzicht'!$B$5</f>
        <v>-1390.6076049278959</v>
      </c>
      <c r="D10" s="7">
        <f t="shared" si="2"/>
        <v>70920.987851322687</v>
      </c>
      <c r="E10" s="1">
        <f>'Annuiteit overzicht'!$B$12</f>
        <v>69530.380246394794</v>
      </c>
      <c r="F10" s="5">
        <f t="shared" si="3"/>
        <v>-140451.36809771747</v>
      </c>
      <c r="G10" s="11">
        <f>J9*(SUM('Annuiteit overzicht'!$B$6,'Annuiteit overzicht'!$B$7))</f>
        <v>-3356.6422700137086</v>
      </c>
      <c r="H10" s="1">
        <f t="shared" si="4"/>
        <v>79470.979458533169</v>
      </c>
      <c r="I10" s="1">
        <f>'Annuiteit overzicht'!$B$13</f>
        <v>76114.337188519465</v>
      </c>
      <c r="J10" s="11">
        <f t="shared" si="8"/>
        <v>-155585.31664705265</v>
      </c>
      <c r="K10" s="9">
        <f>'Annuiteit overzicht'!$B$6+'Annuiteit overzicht'!$B$8</f>
        <v>3.2100000000000004E-2</v>
      </c>
      <c r="L10" s="9">
        <f t="shared" si="5"/>
        <v>0.75249565662117657</v>
      </c>
      <c r="M10" s="12">
        <f t="shared" si="0"/>
        <v>-1046.4261827726186</v>
      </c>
      <c r="N10" s="11">
        <f t="shared" si="1"/>
        <v>-2525.8587290163623</v>
      </c>
      <c r="O10" s="11">
        <f t="shared" si="6"/>
        <v>-1479.4325462437437</v>
      </c>
      <c r="P10" s="11"/>
      <c r="R10" s="11"/>
      <c r="T10" s="9"/>
    </row>
    <row r="11" spans="1:20" x14ac:dyDescent="0.25">
      <c r="A11" s="3">
        <v>10</v>
      </c>
      <c r="B11" s="5">
        <f t="shared" si="7"/>
        <v>-140451.36809771747</v>
      </c>
      <c r="C11" s="10">
        <f>B11*'Annuiteit overzicht'!$B$5</f>
        <v>-2809.0273619543495</v>
      </c>
      <c r="D11" s="7">
        <f t="shared" si="2"/>
        <v>72339.407608349138</v>
      </c>
      <c r="E11" s="1">
        <f>'Annuiteit overzicht'!$B$12</f>
        <v>69530.380246394794</v>
      </c>
      <c r="F11" s="5">
        <f t="shared" si="3"/>
        <v>-212790.7757060666</v>
      </c>
      <c r="G11" s="11">
        <f>J10*(SUM('Annuiteit overzicht'!$B$6,'Annuiteit overzicht'!$B$7))</f>
        <v>-6861.3124641350214</v>
      </c>
      <c r="H11" s="1">
        <f t="shared" si="4"/>
        <v>82975.64965265448</v>
      </c>
      <c r="I11" s="1">
        <f>'Annuiteit overzicht'!$B$13</f>
        <v>76114.337188519465</v>
      </c>
      <c r="J11" s="11">
        <f t="shared" si="8"/>
        <v>-238560.96629970713</v>
      </c>
      <c r="K11" s="9">
        <f>'Annuiteit overzicht'!$B$6+'Annuiteit overzicht'!$B$8</f>
        <v>3.2100000000000004E-2</v>
      </c>
      <c r="L11" s="9">
        <f t="shared" si="5"/>
        <v>0.72909180953509978</v>
      </c>
      <c r="M11" s="12">
        <f t="shared" si="0"/>
        <v>-2048.0388423609043</v>
      </c>
      <c r="N11" s="11">
        <f t="shared" si="1"/>
        <v>-5002.526720261937</v>
      </c>
      <c r="O11" s="11">
        <f t="shared" si="6"/>
        <v>-2954.4878779010328</v>
      </c>
      <c r="P11" s="11"/>
      <c r="R11" s="11"/>
      <c r="T11" s="9"/>
    </row>
    <row r="12" spans="1:20" x14ac:dyDescent="0.25">
      <c r="A12" s="3">
        <v>11</v>
      </c>
      <c r="B12" s="5">
        <f t="shared" si="7"/>
        <v>-212790.7757060666</v>
      </c>
      <c r="C12" s="10">
        <f>B12*'Annuiteit overzicht'!$B$5</f>
        <v>-4255.8155141213319</v>
      </c>
      <c r="D12" s="7">
        <f t="shared" si="2"/>
        <v>73786.19576051613</v>
      </c>
      <c r="E12" s="1">
        <f>'Annuiteit overzicht'!$B$12</f>
        <v>69530.380246394794</v>
      </c>
      <c r="F12" s="5">
        <f t="shared" si="3"/>
        <v>-286576.97146658273</v>
      </c>
      <c r="G12" s="11">
        <f>J11*(SUM('Annuiteit overzicht'!$B$6,'Annuiteit overzicht'!$B$7))</f>
        <v>-10520.538613817085</v>
      </c>
      <c r="H12" s="1">
        <f t="shared" si="4"/>
        <v>86634.875802336552</v>
      </c>
      <c r="I12" s="1">
        <f>'Annuiteit overzicht'!$B$13</f>
        <v>76114.337188519465</v>
      </c>
      <c r="J12" s="11">
        <f t="shared" si="8"/>
        <v>-325195.84210204368</v>
      </c>
      <c r="K12" s="9">
        <f>'Annuiteit overzicht'!$B$6+'Annuiteit overzicht'!$B$8</f>
        <v>3.2100000000000004E-2</v>
      </c>
      <c r="L12" s="9">
        <f t="shared" si="5"/>
        <v>0.70641586041575399</v>
      </c>
      <c r="M12" s="12">
        <f t="shared" si="0"/>
        <v>-3006.3755781787349</v>
      </c>
      <c r="N12" s="11">
        <f t="shared" si="1"/>
        <v>-7431.8753369167598</v>
      </c>
      <c r="O12" s="11">
        <f t="shared" si="6"/>
        <v>-4425.4997587380249</v>
      </c>
      <c r="P12" s="11"/>
      <c r="R12" s="11"/>
      <c r="T12" s="9"/>
    </row>
    <row r="13" spans="1:20" x14ac:dyDescent="0.25">
      <c r="A13" s="3">
        <v>12</v>
      </c>
      <c r="B13" s="5">
        <f t="shared" si="7"/>
        <v>-286576.97146658273</v>
      </c>
      <c r="C13" s="10">
        <f>B13*'Annuiteit overzicht'!$B$5</f>
        <v>-5731.5394293316549</v>
      </c>
      <c r="D13" s="7">
        <f t="shared" si="2"/>
        <v>75261.919675726444</v>
      </c>
      <c r="E13" s="1">
        <f>'Annuiteit overzicht'!$B$12</f>
        <v>69530.380246394794</v>
      </c>
      <c r="F13" s="5">
        <f t="shared" si="3"/>
        <v>-361838.89114230918</v>
      </c>
      <c r="G13" s="11">
        <f>J12*(SUM('Annuiteit overzicht'!$B$6,'Annuiteit overzicht'!$B$7))</f>
        <v>-14341.136636700126</v>
      </c>
      <c r="H13" s="1">
        <f t="shared" si="4"/>
        <v>90455.473825219597</v>
      </c>
      <c r="I13" s="1">
        <f>'Annuiteit overzicht'!$B$13</f>
        <v>76114.337188519465</v>
      </c>
      <c r="J13" s="11">
        <f t="shared" si="8"/>
        <v>-415651.31592726329</v>
      </c>
      <c r="K13" s="9">
        <f>'Annuiteit overzicht'!$B$6+'Annuiteit overzicht'!$B$8</f>
        <v>3.2100000000000004E-2</v>
      </c>
      <c r="L13" s="9">
        <f t="shared" si="5"/>
        <v>0.68444517044448605</v>
      </c>
      <c r="M13" s="12">
        <f t="shared" si="0"/>
        <v>-3922.9244816181968</v>
      </c>
      <c r="N13" s="11">
        <f t="shared" si="1"/>
        <v>-9815.7217096738823</v>
      </c>
      <c r="O13" s="11">
        <f t="shared" si="6"/>
        <v>-5892.797228055686</v>
      </c>
      <c r="P13" s="11"/>
      <c r="R13" s="11"/>
      <c r="T13" s="9"/>
    </row>
    <row r="14" spans="1:20" x14ac:dyDescent="0.25">
      <c r="A14" s="3">
        <v>13</v>
      </c>
      <c r="B14" s="5">
        <f t="shared" si="7"/>
        <v>-361838.89114230918</v>
      </c>
      <c r="C14" s="10">
        <f>B14*'Annuiteit overzicht'!$B$5</f>
        <v>-7236.7778228461839</v>
      </c>
      <c r="D14" s="7">
        <f t="shared" si="2"/>
        <v>76767.158069240977</v>
      </c>
      <c r="E14" s="1">
        <f>'Annuiteit overzicht'!$B$12</f>
        <v>69530.380246394794</v>
      </c>
      <c r="F14" s="5">
        <f t="shared" si="3"/>
        <v>-438606.04921155015</v>
      </c>
      <c r="G14" s="11">
        <f>J13*(SUM('Annuiteit overzicht'!$B$6,'Annuiteit overzicht'!$B$7))</f>
        <v>-18330.22303239231</v>
      </c>
      <c r="H14" s="1">
        <f t="shared" si="4"/>
        <v>94444.560220911779</v>
      </c>
      <c r="I14" s="1">
        <f>'Annuiteit overzicht'!$B$13</f>
        <v>76114.337188519465</v>
      </c>
      <c r="J14" s="11">
        <f t="shared" si="8"/>
        <v>-510095.8761481751</v>
      </c>
      <c r="K14" s="9">
        <f>'Annuiteit overzicht'!$B$6+'Annuiteit overzicht'!$B$8</f>
        <v>3.2100000000000004E-2</v>
      </c>
      <c r="L14" s="9">
        <f t="shared" si="5"/>
        <v>0.66315780490697218</v>
      </c>
      <c r="M14" s="12">
        <f t="shared" si="0"/>
        <v>-4799.1256955981326</v>
      </c>
      <c r="N14" s="11">
        <f t="shared" si="1"/>
        <v>-12155.830469616509</v>
      </c>
      <c r="O14" s="11">
        <f t="shared" si="6"/>
        <v>-7356.7047740183762</v>
      </c>
      <c r="P14" s="11"/>
      <c r="R14" s="11"/>
    </row>
    <row r="15" spans="1:20" x14ac:dyDescent="0.25">
      <c r="A15" s="3">
        <v>14</v>
      </c>
      <c r="B15" s="5">
        <f t="shared" si="7"/>
        <v>-438606.04921155015</v>
      </c>
      <c r="C15" s="10">
        <f>B15*'Annuiteit overzicht'!$B$5</f>
        <v>-8772.1209842310036</v>
      </c>
      <c r="D15" s="7">
        <f t="shared" si="2"/>
        <v>78302.5012306258</v>
      </c>
      <c r="E15" s="1">
        <f>'Annuiteit overzicht'!$B$12</f>
        <v>69530.380246394794</v>
      </c>
      <c r="F15" s="5">
        <f t="shared" si="3"/>
        <v>-516908.55044217594</v>
      </c>
      <c r="G15" s="11">
        <f>J14*(SUM('Annuiteit overzicht'!$B$6,'Annuiteit overzicht'!$B$7))</f>
        <v>-22495.228138134524</v>
      </c>
      <c r="H15" s="1">
        <f t="shared" si="4"/>
        <v>98609.565326653988</v>
      </c>
      <c r="I15" s="1">
        <f>'Annuiteit overzicht'!$B$13</f>
        <v>76114.337188519465</v>
      </c>
      <c r="J15" s="11">
        <f t="shared" si="8"/>
        <v>-608705.4414748291</v>
      </c>
      <c r="K15" s="9">
        <f>'Annuiteit overzicht'!$B$6+'Annuiteit overzicht'!$B$8</f>
        <v>3.2100000000000004E-2</v>
      </c>
      <c r="L15" s="9">
        <f t="shared" si="5"/>
        <v>0.64253251129442124</v>
      </c>
      <c r="M15" s="12">
        <f t="shared" si="0"/>
        <v>-5636.3729253764368</v>
      </c>
      <c r="N15" s="11">
        <f t="shared" si="1"/>
        <v>-14453.915427736503</v>
      </c>
      <c r="O15" s="11">
        <f t="shared" si="6"/>
        <v>-8817.5425023600656</v>
      </c>
      <c r="P15" s="11"/>
      <c r="R15" s="11"/>
    </row>
    <row r="16" spans="1:20" x14ac:dyDescent="0.25">
      <c r="A16" s="3">
        <v>15</v>
      </c>
      <c r="B16" s="5">
        <f t="shared" si="7"/>
        <v>-516908.55044217594</v>
      </c>
      <c r="C16" s="10">
        <f>B16*'Annuiteit overzicht'!$B$5</f>
        <v>-10338.171008843519</v>
      </c>
      <c r="D16" s="7">
        <f t="shared" si="2"/>
        <v>79868.551255238315</v>
      </c>
      <c r="E16" s="1">
        <f>'Annuiteit overzicht'!$B$12</f>
        <v>69530.380246394794</v>
      </c>
      <c r="F16" s="5">
        <f t="shared" si="3"/>
        <v>-596777.1016974143</v>
      </c>
      <c r="G16" s="11">
        <f>J15*(SUM('Annuiteit overzicht'!$B$6,'Annuiteit overzicht'!$B$7))</f>
        <v>-26843.909969039963</v>
      </c>
      <c r="H16" s="1">
        <f t="shared" si="4"/>
        <v>102958.24715755942</v>
      </c>
      <c r="I16" s="1">
        <f>'Annuiteit overzicht'!$B$13</f>
        <v>76114.337188519465</v>
      </c>
      <c r="J16" s="11">
        <f t="shared" si="8"/>
        <v>-711663.68863238848</v>
      </c>
      <c r="K16" s="9">
        <f>'Annuiteit overzicht'!$B$6+'Annuiteit overzicht'!$B$8</f>
        <v>3.2100000000000004E-2</v>
      </c>
      <c r="L16" s="9">
        <f t="shared" si="5"/>
        <v>0.62254869808586499</v>
      </c>
      <c r="M16" s="12">
        <f t="shared" si="0"/>
        <v>-6436.0149021445668</v>
      </c>
      <c r="N16" s="11">
        <f t="shared" si="1"/>
        <v>-16711.641202760002</v>
      </c>
      <c r="O16" s="11">
        <f t="shared" si="6"/>
        <v>-10275.626300615435</v>
      </c>
      <c r="P16" s="11"/>
      <c r="R16" s="11"/>
    </row>
    <row r="17" spans="1:18" x14ac:dyDescent="0.25">
      <c r="A17" s="3">
        <v>16</v>
      </c>
      <c r="B17" s="5">
        <f t="shared" si="7"/>
        <v>-596777.1016974143</v>
      </c>
      <c r="C17" s="10">
        <f>B17*'Annuiteit overzicht'!$B$5</f>
        <v>-11935.542033948286</v>
      </c>
      <c r="D17" s="7">
        <f t="shared" si="2"/>
        <v>81465.922280343075</v>
      </c>
      <c r="E17" s="1">
        <f>'Annuiteit overzicht'!$B$12</f>
        <v>69530.380246394794</v>
      </c>
      <c r="F17" s="5">
        <f t="shared" si="3"/>
        <v>-678243.02397775743</v>
      </c>
      <c r="G17" s="11">
        <f>J16*(SUM('Annuiteit overzicht'!$B$6,'Annuiteit overzicht'!$B$7))</f>
        <v>-31384.368668688334</v>
      </c>
      <c r="H17" s="1">
        <f t="shared" si="4"/>
        <v>107498.70585720779</v>
      </c>
      <c r="I17" s="1">
        <f>'Annuiteit overzicht'!$B$13</f>
        <v>76114.337188519465</v>
      </c>
      <c r="J17" s="11">
        <f t="shared" si="8"/>
        <v>-819162.39448959625</v>
      </c>
      <c r="K17" s="9">
        <f>'Annuiteit overzicht'!$B$6+'Annuiteit overzicht'!$B$8</f>
        <v>3.2100000000000004E-2</v>
      </c>
      <c r="L17" s="9">
        <f t="shared" si="5"/>
        <v>0.60318641419035446</v>
      </c>
      <c r="M17" s="12">
        <f t="shared" si="0"/>
        <v>-7199.3568008755165</v>
      </c>
      <c r="N17" s="11">
        <f t="shared" si="1"/>
        <v>-18930.624798894223</v>
      </c>
      <c r="O17" s="11">
        <f t="shared" si="6"/>
        <v>-11731.267998018706</v>
      </c>
      <c r="P17" s="11"/>
      <c r="R17" s="11"/>
    </row>
    <row r="18" spans="1:18" x14ac:dyDescent="0.25">
      <c r="A18" s="3">
        <v>17</v>
      </c>
      <c r="B18" s="5">
        <f t="shared" si="7"/>
        <v>-678243.02397775743</v>
      </c>
      <c r="C18" s="10">
        <f>B18*'Annuiteit overzicht'!$B$5</f>
        <v>-13564.860479555149</v>
      </c>
      <c r="D18" s="7">
        <f t="shared" si="2"/>
        <v>83095.240725949945</v>
      </c>
      <c r="E18" s="1">
        <f>'Annuiteit overzicht'!$B$12</f>
        <v>69530.380246394794</v>
      </c>
      <c r="F18" s="5">
        <f t="shared" si="3"/>
        <v>-761338.26470370742</v>
      </c>
      <c r="G18" s="11">
        <f>J17*(SUM('Annuiteit overzicht'!$B$6,'Annuiteit overzicht'!$B$7))</f>
        <v>-36125.061596991196</v>
      </c>
      <c r="H18" s="1">
        <f t="shared" si="4"/>
        <v>112239.39878551065</v>
      </c>
      <c r="I18" s="1">
        <f>'Annuiteit overzicht'!$B$13</f>
        <v>76114.337188519465</v>
      </c>
      <c r="J18" s="11">
        <f t="shared" si="8"/>
        <v>-931401.79327510693</v>
      </c>
      <c r="K18" s="9">
        <f>'Annuiteit overzicht'!$B$6+'Annuiteit overzicht'!$B$8</f>
        <v>3.2100000000000004E-2</v>
      </c>
      <c r="L18" s="9">
        <f t="shared" si="5"/>
        <v>0.58442632902853831</v>
      </c>
      <c r="M18" s="12">
        <f t="shared" si="0"/>
        <v>-7927.6616138507134</v>
      </c>
      <c r="N18" s="11">
        <f t="shared" si="1"/>
        <v>-21112.43713505939</v>
      </c>
      <c r="O18" s="11">
        <f t="shared" si="6"/>
        <v>-13184.775521208678</v>
      </c>
      <c r="P18" s="11"/>
      <c r="R18" s="11"/>
    </row>
    <row r="19" spans="1:18" x14ac:dyDescent="0.25">
      <c r="A19" s="3">
        <v>18</v>
      </c>
      <c r="B19" s="5">
        <f t="shared" si="7"/>
        <v>-761338.26470370742</v>
      </c>
      <c r="C19" s="10">
        <f>B19*'Annuiteit overzicht'!$B$5</f>
        <v>-15226.765294074148</v>
      </c>
      <c r="D19" s="7">
        <f t="shared" si="2"/>
        <v>84757.145540468948</v>
      </c>
      <c r="E19" s="1">
        <f>'Annuiteit overzicht'!$B$12</f>
        <v>69530.380246394794</v>
      </c>
      <c r="F19" s="5">
        <f t="shared" si="3"/>
        <v>-846095.4102441764</v>
      </c>
      <c r="G19" s="11">
        <f>J18*(SUM('Annuiteit overzicht'!$B$6,'Annuiteit overzicht'!$B$7))</f>
        <v>-41074.819083432216</v>
      </c>
      <c r="H19" s="1">
        <f t="shared" si="4"/>
        <v>117189.15627195168</v>
      </c>
      <c r="I19" s="1">
        <f>'Annuiteit overzicht'!$B$13</f>
        <v>76114.337188519465</v>
      </c>
      <c r="J19" s="11">
        <f t="shared" si="8"/>
        <v>-1048590.9495470587</v>
      </c>
      <c r="K19" s="9">
        <f>'Annuiteit overzicht'!$B$6+'Annuiteit overzicht'!$B$8</f>
        <v>3.2100000000000004E-2</v>
      </c>
      <c r="L19" s="9">
        <f t="shared" si="5"/>
        <v>0.56624971323373552</v>
      </c>
      <c r="M19" s="12">
        <f t="shared" si="0"/>
        <v>-8622.1514812468831</v>
      </c>
      <c r="N19" s="11">
        <f t="shared" si="1"/>
        <v>-23258.604527121061</v>
      </c>
      <c r="O19" s="11">
        <f t="shared" si="6"/>
        <v>-14636.453045874177</v>
      </c>
      <c r="P19" s="11"/>
      <c r="R19" s="11"/>
    </row>
    <row r="20" spans="1:18" x14ac:dyDescent="0.25">
      <c r="A20" s="3">
        <v>19</v>
      </c>
      <c r="B20" s="5">
        <f t="shared" si="7"/>
        <v>-846095.4102441764</v>
      </c>
      <c r="C20" s="10">
        <f>B20*'Annuiteit overzicht'!$B$5</f>
        <v>-16921.90820488353</v>
      </c>
      <c r="D20" s="7">
        <f t="shared" si="2"/>
        <v>86452.28845127832</v>
      </c>
      <c r="E20" s="1">
        <f>'Annuiteit overzicht'!$B$12</f>
        <v>69530.380246394794</v>
      </c>
      <c r="F20" s="5">
        <f t="shared" si="3"/>
        <v>-932547.69869545475</v>
      </c>
      <c r="G20" s="11">
        <f>J19*(SUM('Annuiteit overzicht'!$B$6,'Annuiteit overzicht'!$B$7))</f>
        <v>-46242.86087502529</v>
      </c>
      <c r="H20" s="1">
        <f t="shared" si="4"/>
        <v>122357.19806354475</v>
      </c>
      <c r="I20" s="1">
        <f>'Annuiteit overzicht'!$B$13</f>
        <v>76114.337188519465</v>
      </c>
      <c r="J20" s="11">
        <f t="shared" si="8"/>
        <v>-1170948.1476106034</v>
      </c>
      <c r="K20" s="9">
        <f>'Annuiteit overzicht'!$B$6+'Annuiteit overzicht'!$B$8</f>
        <v>3.2100000000000004E-2</v>
      </c>
      <c r="L20" s="9">
        <f t="shared" si="5"/>
        <v>0.54863841995323659</v>
      </c>
      <c r="M20" s="12">
        <f t="shared" si="0"/>
        <v>-9284.0089801210106</v>
      </c>
      <c r="N20" s="11">
        <f t="shared" si="1"/>
        <v>-25370.610124591218</v>
      </c>
      <c r="O20" s="11">
        <f t="shared" si="6"/>
        <v>-16086.601144470207</v>
      </c>
      <c r="P20" s="11"/>
      <c r="R20" s="11"/>
    </row>
    <row r="21" spans="1:18" x14ac:dyDescent="0.25">
      <c r="A21" s="3">
        <v>20</v>
      </c>
      <c r="B21" s="5">
        <f t="shared" ref="B21:B31" si="9">F20</f>
        <v>-932547.69869545475</v>
      </c>
      <c r="C21" s="10">
        <f>B21*'Annuiteit overzicht'!$B$5</f>
        <v>-18650.953973909094</v>
      </c>
      <c r="D21" s="7">
        <f t="shared" si="2"/>
        <v>88181.334220303892</v>
      </c>
      <c r="E21" s="1">
        <f>'Annuiteit overzicht'!$B$12</f>
        <v>69530.380246394794</v>
      </c>
      <c r="F21" s="5">
        <f t="shared" ref="F21:F31" si="10">B21-D21</f>
        <v>-1020729.0329157587</v>
      </c>
      <c r="G21" s="11">
        <f>J20*(SUM('Annuiteit overzicht'!$B$6,'Annuiteit overzicht'!$B$7))</f>
        <v>-51638.813309627607</v>
      </c>
      <c r="H21" s="1">
        <f t="shared" si="4"/>
        <v>127753.15049814706</v>
      </c>
      <c r="I21" s="1">
        <f>'Annuiteit overzicht'!$B$13</f>
        <v>76114.337188519465</v>
      </c>
      <c r="J21" s="11">
        <f t="shared" ref="J21:J31" si="11">J20-H21</f>
        <v>-1298701.2981087505</v>
      </c>
      <c r="K21" s="9">
        <f>'Annuiteit overzicht'!$B$6+'Annuiteit overzicht'!$B$8</f>
        <v>3.2100000000000004E-2</v>
      </c>
      <c r="L21" s="9">
        <f t="shared" ref="L21:L31" si="12">1/(1+K21)^A21</f>
        <v>0.53157486673116605</v>
      </c>
      <c r="M21" s="12">
        <f t="shared" si="0"/>
        <v>-9914.3783730898394</v>
      </c>
      <c r="N21" s="11">
        <f t="shared" si="1"/>
        <v>-27449.895303220859</v>
      </c>
      <c r="O21" s="11">
        <f t="shared" si="6"/>
        <v>-17535.51693013102</v>
      </c>
      <c r="P21" s="11"/>
      <c r="R21" s="11"/>
    </row>
    <row r="22" spans="1:18" x14ac:dyDescent="0.25">
      <c r="A22" s="3">
        <v>21</v>
      </c>
      <c r="B22" s="5">
        <f t="shared" si="9"/>
        <v>-1020729.0329157587</v>
      </c>
      <c r="C22" s="10">
        <f>B22*'Annuiteit overzicht'!$B$5</f>
        <v>-20414.580658315175</v>
      </c>
      <c r="D22" s="7">
        <f t="shared" si="2"/>
        <v>89944.960904709966</v>
      </c>
      <c r="E22" s="1">
        <f>'Annuiteit overzicht'!$B$12</f>
        <v>69530.380246394794</v>
      </c>
      <c r="F22" s="5">
        <f t="shared" si="10"/>
        <v>-1110673.9938204687</v>
      </c>
      <c r="G22" s="11">
        <f>J21*(SUM('Annuiteit overzicht'!$B$6,'Annuiteit overzicht'!$B$7))</f>
        <v>-57272.727246595896</v>
      </c>
      <c r="H22" s="1">
        <f t="shared" si="4"/>
        <v>133387.06443511538</v>
      </c>
      <c r="I22" s="1">
        <f>'Annuiteit overzicht'!$B$13</f>
        <v>76114.337188519465</v>
      </c>
      <c r="J22" s="11">
        <f t="shared" si="11"/>
        <v>-1432088.3625438658</v>
      </c>
      <c r="K22" s="9">
        <f>'Annuiteit overzicht'!$B$6+'Annuiteit overzicht'!$B$8</f>
        <v>3.2100000000000004E-2</v>
      </c>
      <c r="L22" s="9">
        <f t="shared" si="12"/>
        <v>0.51504201795481652</v>
      </c>
      <c r="M22" s="12">
        <f t="shared" si="0"/>
        <v>-10514.366817960015</v>
      </c>
      <c r="N22" s="11">
        <f t="shared" si="1"/>
        <v>-29497.861014862552</v>
      </c>
      <c r="O22" s="11">
        <f t="shared" si="6"/>
        <v>-18983.494196902539</v>
      </c>
      <c r="P22" s="11"/>
      <c r="R22" s="11"/>
    </row>
    <row r="23" spans="1:18" x14ac:dyDescent="0.25">
      <c r="A23" s="3">
        <v>22</v>
      </c>
      <c r="B23" s="5">
        <f t="shared" si="9"/>
        <v>-1110673.9938204687</v>
      </c>
      <c r="C23" s="10">
        <f>B23*'Annuiteit overzicht'!$B$5</f>
        <v>-22213.479876409372</v>
      </c>
      <c r="D23" s="7">
        <f t="shared" si="2"/>
        <v>91743.860122804166</v>
      </c>
      <c r="E23" s="1">
        <f>'Annuiteit overzicht'!$B$12</f>
        <v>69530.380246394794</v>
      </c>
      <c r="F23" s="5">
        <f t="shared" si="10"/>
        <v>-1202417.8539432727</v>
      </c>
      <c r="G23" s="11">
        <f>J22*(SUM('Annuiteit overzicht'!$B$6,'Annuiteit overzicht'!$B$7))</f>
        <v>-63155.096788184484</v>
      </c>
      <c r="H23" s="1">
        <f t="shared" si="4"/>
        <v>139269.43397670396</v>
      </c>
      <c r="I23" s="1">
        <f>'Annuiteit overzicht'!$B$13</f>
        <v>76114.337188519465</v>
      </c>
      <c r="J23" s="11">
        <f t="shared" si="11"/>
        <v>-1571357.7965205698</v>
      </c>
      <c r="K23" s="9">
        <f>'Annuiteit overzicht'!$B$6+'Annuiteit overzicht'!$B$8</f>
        <v>3.2100000000000004E-2</v>
      </c>
      <c r="L23" s="9">
        <f t="shared" si="12"/>
        <v>0.49902336784693002</v>
      </c>
      <c r="M23" s="12">
        <f t="shared" si="0"/>
        <v>-11085.045539525812</v>
      </c>
      <c r="N23" s="11">
        <f t="shared" si="1"/>
        <v>-31515.869095938655</v>
      </c>
      <c r="O23" s="11">
        <f t="shared" si="6"/>
        <v>-20430.823556412841</v>
      </c>
      <c r="P23" s="11"/>
      <c r="R23" s="11"/>
    </row>
    <row r="24" spans="1:18" x14ac:dyDescent="0.25">
      <c r="A24" s="3">
        <v>23</v>
      </c>
      <c r="B24" s="5">
        <f t="shared" si="9"/>
        <v>-1202417.8539432727</v>
      </c>
      <c r="C24" s="10">
        <f>B24*'Annuiteit overzicht'!$B$5</f>
        <v>-24048.357078865454</v>
      </c>
      <c r="D24" s="7">
        <f t="shared" si="2"/>
        <v>93578.737325260241</v>
      </c>
      <c r="E24" s="1">
        <f>'Annuiteit overzicht'!$B$12</f>
        <v>69530.380246394794</v>
      </c>
      <c r="F24" s="5">
        <f t="shared" si="10"/>
        <v>-1295996.5912685329</v>
      </c>
      <c r="G24" s="11">
        <f>J23*(SUM('Annuiteit overzicht'!$B$6,'Annuiteit overzicht'!$B$7))</f>
        <v>-69296.878826557135</v>
      </c>
      <c r="H24" s="1">
        <f t="shared" si="4"/>
        <v>145411.21601507661</v>
      </c>
      <c r="I24" s="1">
        <f>'Annuiteit overzicht'!$B$13</f>
        <v>76114.337188519465</v>
      </c>
      <c r="J24" s="11">
        <f t="shared" si="11"/>
        <v>-1716769.0125356466</v>
      </c>
      <c r="K24" s="9">
        <f>'Annuiteit overzicht'!$B$6+'Annuiteit overzicht'!$B$8</f>
        <v>3.2100000000000004E-2</v>
      </c>
      <c r="L24" s="9">
        <f t="shared" si="12"/>
        <v>0.48350292398694894</v>
      </c>
      <c r="M24" s="12">
        <f t="shared" si="0"/>
        <v>-11627.450964713689</v>
      </c>
      <c r="N24" s="11">
        <f t="shared" si="1"/>
        <v>-33505.243535809663</v>
      </c>
      <c r="O24" s="11">
        <f t="shared" si="6"/>
        <v>-21877.792571095975</v>
      </c>
      <c r="P24" s="11"/>
      <c r="R24" s="11"/>
    </row>
    <row r="25" spans="1:18" x14ac:dyDescent="0.25">
      <c r="A25" s="3">
        <v>24</v>
      </c>
      <c r="B25" s="5">
        <f t="shared" si="9"/>
        <v>-1295996.5912685329</v>
      </c>
      <c r="C25" s="10">
        <f>B25*'Annuiteit overzicht'!$B$5</f>
        <v>-25919.931825370659</v>
      </c>
      <c r="D25" s="7">
        <f t="shared" si="2"/>
        <v>95450.312071765453</v>
      </c>
      <c r="E25" s="1">
        <f>'Annuiteit overzicht'!$B$12</f>
        <v>69530.380246394794</v>
      </c>
      <c r="F25" s="5">
        <f t="shared" si="10"/>
        <v>-1391446.9033402984</v>
      </c>
      <c r="G25" s="11">
        <f>J24*(SUM('Annuiteit overzicht'!$B$6,'Annuiteit overzicht'!$B$7))</f>
        <v>-75709.513452822008</v>
      </c>
      <c r="H25" s="1">
        <f t="shared" si="4"/>
        <v>151823.85064134147</v>
      </c>
      <c r="I25" s="1">
        <f>'Annuiteit overzicht'!$B$13</f>
        <v>76114.337188519465</v>
      </c>
      <c r="J25" s="11">
        <f t="shared" si="11"/>
        <v>-1868592.863176988</v>
      </c>
      <c r="K25" s="9">
        <f>'Annuiteit overzicht'!$B$6+'Annuiteit overzicht'!$B$8</f>
        <v>3.2100000000000004E-2</v>
      </c>
      <c r="L25" s="9">
        <f t="shared" si="12"/>
        <v>0.46846519134478148</v>
      </c>
      <c r="M25" s="12">
        <f t="shared" si="0"/>
        <v>-12142.585822215957</v>
      </c>
      <c r="N25" s="11">
        <f t="shared" si="1"/>
        <v>-35467.271706296568</v>
      </c>
      <c r="O25" s="11">
        <f t="shared" si="6"/>
        <v>-23324.685884080609</v>
      </c>
      <c r="P25" s="11"/>
      <c r="R25" s="11"/>
    </row>
    <row r="26" spans="1:18" x14ac:dyDescent="0.25">
      <c r="A26" s="3">
        <v>25</v>
      </c>
      <c r="B26" s="5">
        <f t="shared" si="9"/>
        <v>-1391446.9033402984</v>
      </c>
      <c r="C26" s="10">
        <f>B26*'Annuiteit overzicht'!$B$5</f>
        <v>-27828.938066805971</v>
      </c>
      <c r="D26" s="7">
        <f t="shared" si="2"/>
        <v>97359.318313200769</v>
      </c>
      <c r="E26" s="1">
        <f>'Annuiteit overzicht'!$B$12</f>
        <v>69530.380246394794</v>
      </c>
      <c r="F26" s="5">
        <f t="shared" si="10"/>
        <v>-1488806.2216534992</v>
      </c>
      <c r="G26" s="11">
        <f>J25*(SUM('Annuiteit overzicht'!$B$6,'Annuiteit overzicht'!$B$7))</f>
        <v>-82404.945266105176</v>
      </c>
      <c r="H26" s="1">
        <f t="shared" si="4"/>
        <v>158519.28245462466</v>
      </c>
      <c r="I26" s="1">
        <f>'Annuiteit overzicht'!$B$13</f>
        <v>76114.337188519465</v>
      </c>
      <c r="J26" s="11">
        <f t="shared" si="11"/>
        <v>-2027112.1456316127</v>
      </c>
      <c r="K26" s="9">
        <f>'Annuiteit overzicht'!$B$6+'Annuiteit overzicht'!$B$8</f>
        <v>3.2100000000000004E-2</v>
      </c>
      <c r="L26" s="9">
        <f t="shared" si="12"/>
        <v>0.45389515681114379</v>
      </c>
      <c r="M26" s="12">
        <f t="shared" si="0"/>
        <v>-12631.420207720505</v>
      </c>
      <c r="N26" s="11">
        <f t="shared" si="1"/>
        <v>-37403.20555357253</v>
      </c>
      <c r="O26" s="11">
        <f t="shared" si="6"/>
        <v>-24771.785345852026</v>
      </c>
      <c r="P26" s="11"/>
      <c r="R26" s="11"/>
    </row>
    <row r="27" spans="1:18" x14ac:dyDescent="0.25">
      <c r="A27" s="3">
        <v>26</v>
      </c>
      <c r="B27" s="5">
        <f t="shared" si="9"/>
        <v>-1488806.2216534992</v>
      </c>
      <c r="C27" s="10">
        <f>B27*'Annuiteit overzicht'!$B$5</f>
        <v>-29776.124433069985</v>
      </c>
      <c r="D27" s="7">
        <f t="shared" si="2"/>
        <v>99306.504679464779</v>
      </c>
      <c r="E27" s="1">
        <f>'Annuiteit overzicht'!$B$12</f>
        <v>69530.380246394794</v>
      </c>
      <c r="F27" s="5">
        <f t="shared" si="10"/>
        <v>-1588112.7263329639</v>
      </c>
      <c r="G27" s="11">
        <f>J26*(SUM('Annuiteit overzicht'!$B$6,'Annuiteit overzicht'!$B$7))</f>
        <v>-89395.645622354117</v>
      </c>
      <c r="H27" s="1">
        <f t="shared" si="4"/>
        <v>165509.9828108736</v>
      </c>
      <c r="I27" s="1">
        <f>'Annuiteit overzicht'!$B$13</f>
        <v>76114.337188519465</v>
      </c>
      <c r="J27" s="11">
        <f t="shared" si="11"/>
        <v>-2192622.1284424863</v>
      </c>
      <c r="K27" s="9">
        <f>'Annuiteit overzicht'!$B$6+'Annuiteit overzicht'!$B$8</f>
        <v>3.2100000000000004E-2</v>
      </c>
      <c r="L27" s="9">
        <f t="shared" si="12"/>
        <v>0.4397782742090337</v>
      </c>
      <c r="M27" s="12">
        <f t="shared" si="0"/>
        <v>-13094.89261580896</v>
      </c>
      <c r="N27" s="11">
        <f t="shared" si="1"/>
        <v>-39314.262753601251</v>
      </c>
      <c r="O27" s="11">
        <f t="shared" si="6"/>
        <v>-26219.370137792292</v>
      </c>
      <c r="P27" s="11"/>
      <c r="R27" s="11"/>
    </row>
    <row r="28" spans="1:18" x14ac:dyDescent="0.25">
      <c r="A28" s="3">
        <v>27</v>
      </c>
      <c r="B28" s="5">
        <f t="shared" si="9"/>
        <v>-1588112.7263329639</v>
      </c>
      <c r="C28" s="10">
        <f>B28*'Annuiteit overzicht'!$B$5</f>
        <v>-31762.254526659279</v>
      </c>
      <c r="D28" s="7">
        <f t="shared" si="2"/>
        <v>101292.63477305407</v>
      </c>
      <c r="E28" s="1">
        <f>'Annuiteit overzicht'!$B$12</f>
        <v>69530.380246394794</v>
      </c>
      <c r="F28" s="5">
        <f t="shared" si="10"/>
        <v>-1689405.3611060181</v>
      </c>
      <c r="G28" s="11">
        <f>J27*(SUM('Annuiteit overzicht'!$B$6,'Annuiteit overzicht'!$B$7))</f>
        <v>-96694.635864313648</v>
      </c>
      <c r="H28" s="1">
        <f t="shared" si="4"/>
        <v>172808.97305283311</v>
      </c>
      <c r="I28" s="1">
        <f>'Annuiteit overzicht'!$B$13</f>
        <v>76114.337188519465</v>
      </c>
      <c r="J28" s="11">
        <f t="shared" si="11"/>
        <v>-2365431.1014953195</v>
      </c>
      <c r="K28" s="9">
        <f>'Annuiteit overzicht'!$B$6+'Annuiteit overzicht'!$B$8</f>
        <v>3.2100000000000004E-2</v>
      </c>
      <c r="L28" s="9">
        <f t="shared" si="12"/>
        <v>0.42610044977137262</v>
      </c>
      <c r="M28" s="12">
        <f t="shared" si="0"/>
        <v>-13533.910939562335</v>
      </c>
      <c r="N28" s="11">
        <f t="shared" si="1"/>
        <v>-41201.627832263141</v>
      </c>
      <c r="O28" s="11">
        <f t="shared" si="6"/>
        <v>-27667.716892700806</v>
      </c>
      <c r="P28" s="11"/>
      <c r="R28" s="11"/>
    </row>
    <row r="29" spans="1:18" x14ac:dyDescent="0.25">
      <c r="A29" s="3">
        <v>28</v>
      </c>
      <c r="B29" s="5">
        <f t="shared" si="9"/>
        <v>-1689405.3611060181</v>
      </c>
      <c r="C29" s="10">
        <f>B29*'Annuiteit overzicht'!$B$5</f>
        <v>-33788.107222120365</v>
      </c>
      <c r="D29" s="7">
        <f t="shared" si="2"/>
        <v>103318.48746851516</v>
      </c>
      <c r="E29" s="1">
        <f>'Annuiteit overzicht'!$B$12</f>
        <v>69530.380246394794</v>
      </c>
      <c r="F29" s="5">
        <f t="shared" si="10"/>
        <v>-1792723.8485745331</v>
      </c>
      <c r="G29" s="11">
        <f>J28*(SUM('Annuiteit overzicht'!$B$6,'Annuiteit overzicht'!$B$7))</f>
        <v>-104315.51157594359</v>
      </c>
      <c r="H29" s="1">
        <f t="shared" si="4"/>
        <v>180429.84876446304</v>
      </c>
      <c r="I29" s="1">
        <f>'Annuiteit overzicht'!$B$13</f>
        <v>76114.337188519465</v>
      </c>
      <c r="J29" s="11">
        <f t="shared" si="11"/>
        <v>-2545860.9502597824</v>
      </c>
      <c r="K29" s="9">
        <f>'Annuiteit overzicht'!$B$6+'Annuiteit overzicht'!$B$8</f>
        <v>3.2100000000000004E-2</v>
      </c>
      <c r="L29" s="9">
        <f t="shared" si="12"/>
        <v>0.41284802807031556</v>
      </c>
      <c r="M29" s="12">
        <f t="shared" si="0"/>
        <v>-13949.35343888078</v>
      </c>
      <c r="N29" s="11">
        <f t="shared" si="1"/>
        <v>-43066.453251274485</v>
      </c>
      <c r="O29" s="11">
        <f t="shared" si="6"/>
        <v>-29117.099812393702</v>
      </c>
      <c r="P29" s="11"/>
      <c r="R29" s="11"/>
    </row>
    <row r="30" spans="1:18" x14ac:dyDescent="0.25">
      <c r="A30" s="3">
        <v>29</v>
      </c>
      <c r="B30" s="5">
        <f t="shared" si="9"/>
        <v>-1792723.8485745331</v>
      </c>
      <c r="C30" s="10">
        <f>B30*'Annuiteit overzicht'!$B$5</f>
        <v>-35854.476971490665</v>
      </c>
      <c r="D30" s="7">
        <f t="shared" si="2"/>
        <v>105384.85721788547</v>
      </c>
      <c r="E30" s="1">
        <f>'Annuiteit overzicht'!$B$12</f>
        <v>69530.380246394794</v>
      </c>
      <c r="F30" s="5">
        <f t="shared" si="10"/>
        <v>-1898108.7057924187</v>
      </c>
      <c r="G30" s="11">
        <f>J29*(SUM('Annuiteit overzicht'!$B$6,'Annuiteit overzicht'!$B$7))</f>
        <v>-112272.4679064564</v>
      </c>
      <c r="H30" s="1">
        <f t="shared" si="4"/>
        <v>188386.80509497586</v>
      </c>
      <c r="I30" s="1">
        <f>'Annuiteit overzicht'!$B$13</f>
        <v>76114.337188519465</v>
      </c>
      <c r="J30" s="11">
        <f t="shared" si="11"/>
        <v>-2734247.7553547584</v>
      </c>
      <c r="K30" s="9">
        <f>'Annuiteit overzicht'!$B$6+'Annuiteit overzicht'!$B$8</f>
        <v>3.2100000000000004E-2</v>
      </c>
      <c r="L30" s="9">
        <f t="shared" si="12"/>
        <v>0.40000777838418322</v>
      </c>
      <c r="M30" s="12">
        <f t="shared" si="0"/>
        <v>-14342.069678492839</v>
      </c>
      <c r="N30" s="11">
        <f t="shared" si="1"/>
        <v>-44909.860460971133</v>
      </c>
      <c r="O30" s="11">
        <f t="shared" si="6"/>
        <v>-30567.790782478296</v>
      </c>
      <c r="P30" s="11"/>
      <c r="R30" s="11"/>
    </row>
    <row r="31" spans="1:18" x14ac:dyDescent="0.25">
      <c r="A31" s="3">
        <v>30</v>
      </c>
      <c r="B31" s="5">
        <f t="shared" si="9"/>
        <v>-1898108.7057924187</v>
      </c>
      <c r="C31" s="10">
        <f>B31*'Annuiteit overzicht'!$B$5</f>
        <v>-37962.174115848371</v>
      </c>
      <c r="D31" s="7">
        <f t="shared" si="2"/>
        <v>107492.55436224316</v>
      </c>
      <c r="E31" s="1">
        <f>'Annuiteit overzicht'!$B$12</f>
        <v>69530.380246394794</v>
      </c>
      <c r="F31" s="5">
        <f t="shared" si="10"/>
        <v>-2005601.2601546617</v>
      </c>
      <c r="G31" s="11">
        <f>J30*(SUM('Annuiteit overzicht'!$B$6,'Annuiteit overzicht'!$B$7))</f>
        <v>-120580.32601114485</v>
      </c>
      <c r="H31" s="1">
        <f t="shared" si="4"/>
        <v>196694.66319966433</v>
      </c>
      <c r="I31" s="1">
        <f>'Annuiteit overzicht'!$B$13</f>
        <v>76114.337188519465</v>
      </c>
      <c r="J31" s="11">
        <f t="shared" si="11"/>
        <v>-2930942.4185544224</v>
      </c>
      <c r="K31" s="9">
        <f>'Annuiteit overzicht'!$B$6+'Annuiteit overzicht'!$B$8</f>
        <v>3.2100000000000004E-2</v>
      </c>
      <c r="L31" s="9">
        <f t="shared" si="12"/>
        <v>0.3875668814884054</v>
      </c>
      <c r="M31" s="12">
        <f t="shared" si="0"/>
        <v>-14712.881436599217</v>
      </c>
      <c r="N31" s="11">
        <f t="shared" si="1"/>
        <v>-46732.940920994661</v>
      </c>
      <c r="O31" s="11">
        <f t="shared" si="6"/>
        <v>-32020.059484395446</v>
      </c>
      <c r="P31" s="11"/>
      <c r="R31" s="1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393B9-0025-40EC-B6D3-FD7452A0042D}">
  <dimension ref="A1:O31"/>
  <sheetViews>
    <sheetView topLeftCell="C1" workbookViewId="0">
      <selection activeCell="G36" sqref="G36"/>
    </sheetView>
  </sheetViews>
  <sheetFormatPr defaultRowHeight="12.5" x14ac:dyDescent="0.25"/>
  <cols>
    <col min="1" max="1" width="12.54296875" customWidth="1"/>
    <col min="2" max="2" width="14.81640625" style="6" bestFit="1" customWidth="1"/>
    <col min="3" max="5" width="12.54296875" style="6" customWidth="1"/>
    <col min="6" max="6" width="14.81640625" style="6" bestFit="1" customWidth="1"/>
    <col min="7" max="9" width="12.54296875" customWidth="1"/>
    <col min="10" max="10" width="14.81640625" bestFit="1" customWidth="1"/>
    <col min="11" max="11" width="12.54296875" customWidth="1"/>
    <col min="12" max="12" width="12.54296875" style="93" customWidth="1"/>
    <col min="13" max="14" width="12.54296875" customWidth="1"/>
    <col min="15" max="15" width="15.7265625" bestFit="1" customWidth="1"/>
  </cols>
  <sheetData>
    <row r="1" spans="1:15" s="8" customFormat="1" ht="13" x14ac:dyDescent="0.3">
      <c r="A1" s="2" t="s">
        <v>34</v>
      </c>
      <c r="B1" s="4" t="s">
        <v>35</v>
      </c>
      <c r="C1" s="4" t="s">
        <v>36</v>
      </c>
      <c r="D1" s="4" t="s">
        <v>37</v>
      </c>
      <c r="E1" s="4" t="s">
        <v>38</v>
      </c>
      <c r="F1" s="4" t="s">
        <v>39</v>
      </c>
      <c r="G1" s="8" t="s">
        <v>40</v>
      </c>
      <c r="H1" s="8" t="s">
        <v>41</v>
      </c>
      <c r="I1" s="8" t="s">
        <v>42</v>
      </c>
      <c r="J1" s="8" t="s">
        <v>43</v>
      </c>
      <c r="K1" s="8" t="s">
        <v>44</v>
      </c>
      <c r="L1" s="92" t="s">
        <v>45</v>
      </c>
      <c r="M1" s="8" t="s">
        <v>46</v>
      </c>
      <c r="N1" s="8" t="s">
        <v>47</v>
      </c>
      <c r="O1" s="8" t="s">
        <v>64</v>
      </c>
    </row>
    <row r="2" spans="1:15" x14ac:dyDescent="0.25">
      <c r="A2" s="3">
        <v>1</v>
      </c>
      <c r="B2" s="5">
        <f>'Lineair overzicht'!$B$3</f>
        <v>450000</v>
      </c>
      <c r="C2" s="5">
        <f>'Lineair overzicht'!$B$5*B2</f>
        <v>9000</v>
      </c>
      <c r="D2" s="5">
        <f>'Lineair overzicht'!$B$3/'Lineair overzicht'!$B$4</f>
        <v>64285.714285714283</v>
      </c>
      <c r="E2" s="5">
        <f>C2+D2</f>
        <v>73285.71428571429</v>
      </c>
      <c r="F2" s="5">
        <f>B2-D2</f>
        <v>385714.28571428574</v>
      </c>
      <c r="G2" s="11">
        <f>B2*(SUM('Lineair overzicht'!$B$6,'Lineair overzicht'!$B$7))</f>
        <v>19845</v>
      </c>
      <c r="H2" s="11">
        <f>D2</f>
        <v>64285.714285714283</v>
      </c>
      <c r="I2" s="11">
        <f>SUM(G2:H2)</f>
        <v>84130.71428571429</v>
      </c>
      <c r="J2" s="11">
        <f>B2-H2</f>
        <v>385714.28571428574</v>
      </c>
      <c r="K2" s="9">
        <f>'Lineair overzicht'!$B$6+'Lineair overzicht'!$B$8</f>
        <v>3.2100000000000004E-2</v>
      </c>
      <c r="L2" s="93">
        <f>1/(1+K2)^A2</f>
        <v>0.9688983625617672</v>
      </c>
      <c r="M2" s="12">
        <f>C2*L2</f>
        <v>8720.0852630559057</v>
      </c>
      <c r="N2" s="11">
        <f>G2*L2</f>
        <v>19227.78800503827</v>
      </c>
      <c r="O2" s="11">
        <f>N2-M2</f>
        <v>10507.702741982364</v>
      </c>
    </row>
    <row r="3" spans="1:15" x14ac:dyDescent="0.25">
      <c r="A3" s="3">
        <v>2</v>
      </c>
      <c r="B3" s="5">
        <f>F2</f>
        <v>385714.28571428574</v>
      </c>
      <c r="C3" s="5">
        <f>'Lineair overzicht'!$B$5*B3</f>
        <v>7714.2857142857147</v>
      </c>
      <c r="D3" s="5">
        <f>'Lineair overzicht'!$B$3/'Lineair overzicht'!$B$4</f>
        <v>64285.714285714283</v>
      </c>
      <c r="E3" s="5">
        <f t="shared" ref="E3:E31" si="0">C3+D3</f>
        <v>72000</v>
      </c>
      <c r="F3" s="5">
        <f t="shared" ref="F3:F31" si="1">B3-D3</f>
        <v>321428.57142857148</v>
      </c>
      <c r="G3" s="11">
        <f>B3*(SUM('Lineair overzicht'!$B$6,'Lineair overzicht'!$B$7))</f>
        <v>17010</v>
      </c>
      <c r="H3" s="11">
        <f t="shared" ref="H3:H31" si="2">D3</f>
        <v>64285.714285714283</v>
      </c>
      <c r="I3" s="11">
        <f t="shared" ref="I3:I31" si="3">SUM(G3:H3)</f>
        <v>81295.71428571429</v>
      </c>
      <c r="J3" s="11">
        <f t="shared" ref="J3:J30" si="4">B3-H3</f>
        <v>321428.57142857148</v>
      </c>
      <c r="K3" s="9">
        <f>'Lineair overzicht'!$B$6+'Lineair overzicht'!$B$8</f>
        <v>3.2100000000000004E-2</v>
      </c>
      <c r="L3" s="93">
        <f t="shared" ref="L3:L31" si="5">1/(1+K3)^A3</f>
        <v>0.93876403697487376</v>
      </c>
      <c r="M3" s="12">
        <f t="shared" ref="M3:M31" si="6">C3*L3</f>
        <v>7241.8939995204555</v>
      </c>
      <c r="N3" s="11">
        <f t="shared" ref="N3:N31" si="7">G3*L3</f>
        <v>15968.376268942602</v>
      </c>
      <c r="O3" s="11">
        <f t="shared" ref="O3:O31" si="8">N3-M3</f>
        <v>8726.4822694221475</v>
      </c>
    </row>
    <row r="4" spans="1:15" x14ac:dyDescent="0.25">
      <c r="A4" s="3">
        <v>3</v>
      </c>
      <c r="B4" s="5">
        <f t="shared" ref="B4:B31" si="9">F3</f>
        <v>321428.57142857148</v>
      </c>
      <c r="C4" s="5">
        <f>'Lineair overzicht'!$B$5*B4</f>
        <v>6428.5714285714294</v>
      </c>
      <c r="D4" s="5">
        <f>'Lineair overzicht'!$B$3/'Lineair overzicht'!$B$4</f>
        <v>64285.714285714283</v>
      </c>
      <c r="E4" s="5">
        <f t="shared" si="0"/>
        <v>70714.28571428571</v>
      </c>
      <c r="F4" s="5">
        <f t="shared" si="1"/>
        <v>257142.85714285719</v>
      </c>
      <c r="G4" s="11">
        <f>B4*(SUM('Lineair overzicht'!$B$6,'Lineair overzicht'!$B$7))</f>
        <v>14175.000000000002</v>
      </c>
      <c r="H4" s="11">
        <f t="shared" si="2"/>
        <v>64285.714285714283</v>
      </c>
      <c r="I4" s="11">
        <f t="shared" si="3"/>
        <v>78460.71428571429</v>
      </c>
      <c r="J4" s="11">
        <f t="shared" si="4"/>
        <v>257142.85714285719</v>
      </c>
      <c r="K4" s="9">
        <f>'Lineair overzicht'!$B$6+'Lineair overzicht'!$B$8</f>
        <v>3.2100000000000004E-2</v>
      </c>
      <c r="L4" s="93">
        <f t="shared" si="5"/>
        <v>0.90956693825682955</v>
      </c>
      <c r="M4" s="12">
        <f t="shared" si="6"/>
        <v>5847.2160316510481</v>
      </c>
      <c r="N4" s="11">
        <f t="shared" si="7"/>
        <v>12893.111349790561</v>
      </c>
      <c r="O4" s="11">
        <f t="shared" si="8"/>
        <v>7045.8953181395127</v>
      </c>
    </row>
    <row r="5" spans="1:15" x14ac:dyDescent="0.25">
      <c r="A5" s="3">
        <v>4</v>
      </c>
      <c r="B5" s="5">
        <f t="shared" si="9"/>
        <v>257142.85714285719</v>
      </c>
      <c r="C5" s="5">
        <f>'Lineair overzicht'!$B$5*B5</f>
        <v>5142.857142857144</v>
      </c>
      <c r="D5" s="5">
        <f>'Lineair overzicht'!$B$3/'Lineair overzicht'!$B$4</f>
        <v>64285.714285714283</v>
      </c>
      <c r="E5" s="5">
        <f t="shared" si="0"/>
        <v>69428.57142857142</v>
      </c>
      <c r="F5" s="5">
        <f t="shared" si="1"/>
        <v>192857.1428571429</v>
      </c>
      <c r="G5" s="11">
        <f>B5*(SUM('Lineair overzicht'!$B$6,'Lineair overzicht'!$B$7))</f>
        <v>11340.000000000002</v>
      </c>
      <c r="H5" s="11">
        <f t="shared" si="2"/>
        <v>64285.714285714283</v>
      </c>
      <c r="I5" s="11">
        <f t="shared" si="3"/>
        <v>75625.71428571429</v>
      </c>
      <c r="J5" s="11">
        <f t="shared" si="4"/>
        <v>192857.1428571429</v>
      </c>
      <c r="K5" s="9">
        <f>'Lineair overzicht'!$B$6+'Lineair overzicht'!$B$8</f>
        <v>3.2100000000000004E-2</v>
      </c>
      <c r="L5" s="93">
        <f t="shared" si="5"/>
        <v>0.88127791711736214</v>
      </c>
      <c r="M5" s="12">
        <f t="shared" si="6"/>
        <v>4532.2864308892922</v>
      </c>
      <c r="N5" s="11">
        <f t="shared" si="7"/>
        <v>9993.691580110888</v>
      </c>
      <c r="O5" s="11">
        <f t="shared" si="8"/>
        <v>5461.4051492215958</v>
      </c>
    </row>
    <row r="6" spans="1:15" x14ac:dyDescent="0.25">
      <c r="A6" s="3">
        <v>5</v>
      </c>
      <c r="B6" s="5">
        <f t="shared" si="9"/>
        <v>192857.1428571429</v>
      </c>
      <c r="C6" s="5">
        <f>'Lineair overzicht'!$B$5*B6</f>
        <v>3857.1428571428582</v>
      </c>
      <c r="D6" s="5">
        <f>'Lineair overzicht'!$B$3/'Lineair overzicht'!$B$4</f>
        <v>64285.714285714283</v>
      </c>
      <c r="E6" s="5">
        <f t="shared" si="0"/>
        <v>68142.857142857145</v>
      </c>
      <c r="F6" s="5">
        <f t="shared" si="1"/>
        <v>128571.42857142861</v>
      </c>
      <c r="G6" s="11">
        <f>B6*(SUM('Lineair overzicht'!$B$6,'Lineair overzicht'!$B$7))</f>
        <v>8505.0000000000018</v>
      </c>
      <c r="H6" s="11">
        <f t="shared" si="2"/>
        <v>64285.714285714283</v>
      </c>
      <c r="I6" s="11">
        <f t="shared" si="3"/>
        <v>72790.71428571429</v>
      </c>
      <c r="J6" s="11">
        <f t="shared" si="4"/>
        <v>128571.42857142861</v>
      </c>
      <c r="K6" s="9">
        <f>'Lineair overzicht'!$B$6+'Lineair overzicht'!$B$8</f>
        <v>3.2100000000000004E-2</v>
      </c>
      <c r="L6" s="93">
        <f t="shared" si="5"/>
        <v>0.85386873085685711</v>
      </c>
      <c r="M6" s="12">
        <f t="shared" si="6"/>
        <v>3293.4936761621639</v>
      </c>
      <c r="N6" s="11">
        <f t="shared" si="7"/>
        <v>7262.1535559375716</v>
      </c>
      <c r="O6" s="11">
        <f t="shared" si="8"/>
        <v>3968.6598797754077</v>
      </c>
    </row>
    <row r="7" spans="1:15" x14ac:dyDescent="0.25">
      <c r="A7" s="3">
        <v>6</v>
      </c>
      <c r="B7" s="5">
        <f t="shared" si="9"/>
        <v>128571.42857142861</v>
      </c>
      <c r="C7" s="5">
        <f>'Lineair overzicht'!$B$5*B7</f>
        <v>2571.428571428572</v>
      </c>
      <c r="D7" s="5">
        <f>'Lineair overzicht'!$B$3/'Lineair overzicht'!$B$4</f>
        <v>64285.714285714283</v>
      </c>
      <c r="E7" s="5">
        <f t="shared" si="0"/>
        <v>66857.142857142855</v>
      </c>
      <c r="F7" s="5">
        <f t="shared" si="1"/>
        <v>64285.714285714326</v>
      </c>
      <c r="G7" s="11">
        <f>B7*(SUM('Lineair overzicht'!$B$6,'Lineair overzicht'!$B$7))</f>
        <v>5670.0000000000018</v>
      </c>
      <c r="H7" s="11">
        <f t="shared" si="2"/>
        <v>64285.714285714283</v>
      </c>
      <c r="I7" s="11">
        <f t="shared" si="3"/>
        <v>69955.71428571429</v>
      </c>
      <c r="J7" s="11">
        <f t="shared" si="4"/>
        <v>64285.714285714326</v>
      </c>
      <c r="K7" s="9">
        <f>'Lineair overzicht'!$B$6+'Lineair overzicht'!$B$8</f>
        <v>3.2100000000000004E-2</v>
      </c>
      <c r="L7" s="93">
        <f t="shared" si="5"/>
        <v>0.82731201516990316</v>
      </c>
      <c r="M7" s="12">
        <f t="shared" si="6"/>
        <v>2127.3737532940372</v>
      </c>
      <c r="N7" s="11">
        <f t="shared" si="7"/>
        <v>4690.8591260133526</v>
      </c>
      <c r="O7" s="11">
        <f t="shared" si="8"/>
        <v>2563.4853727193154</v>
      </c>
    </row>
    <row r="8" spans="1:15" x14ac:dyDescent="0.25">
      <c r="A8" s="3">
        <v>7</v>
      </c>
      <c r="B8" s="5">
        <f t="shared" si="9"/>
        <v>64285.714285714326</v>
      </c>
      <c r="C8" s="5">
        <f>'Lineair overzicht'!$B$5*B8</f>
        <v>1285.7142857142865</v>
      </c>
      <c r="D8" s="5">
        <f>'Lineair overzicht'!$B$3/'Lineair overzicht'!$B$4</f>
        <v>64285.714285714283</v>
      </c>
      <c r="E8" s="5">
        <f t="shared" si="0"/>
        <v>65571.428571428565</v>
      </c>
      <c r="F8" s="5">
        <f t="shared" si="1"/>
        <v>0</v>
      </c>
      <c r="G8" s="11">
        <f>B8*(SUM('Lineair overzicht'!$B$6,'Lineair overzicht'!$B$7))</f>
        <v>2835.0000000000018</v>
      </c>
      <c r="H8" s="11">
        <f t="shared" si="2"/>
        <v>64285.714285714283</v>
      </c>
      <c r="I8" s="11">
        <f t="shared" si="3"/>
        <v>67120.71428571429</v>
      </c>
      <c r="J8" s="11">
        <f t="shared" si="4"/>
        <v>0</v>
      </c>
      <c r="K8" s="9">
        <f>'Lineair overzicht'!$B$6+'Lineair overzicht'!$B$8</f>
        <v>3.2100000000000004E-2</v>
      </c>
      <c r="L8" s="93">
        <f t="shared" si="5"/>
        <v>0.80158125682579506</v>
      </c>
      <c r="M8" s="12">
        <f t="shared" si="6"/>
        <v>1030.6044730617371</v>
      </c>
      <c r="N8" s="11">
        <f t="shared" si="7"/>
        <v>2272.4828631011305</v>
      </c>
      <c r="O8" s="11">
        <f t="shared" si="8"/>
        <v>1241.8783900393935</v>
      </c>
    </row>
    <row r="9" spans="1:15" x14ac:dyDescent="0.25">
      <c r="A9" s="3">
        <v>8</v>
      </c>
      <c r="B9" s="5">
        <f t="shared" si="9"/>
        <v>0</v>
      </c>
      <c r="C9" s="5">
        <f>'Lineair overzicht'!$B$5*B9</f>
        <v>0</v>
      </c>
      <c r="D9" s="5">
        <f>'Lineair overzicht'!$B$3/'Lineair overzicht'!$B$4</f>
        <v>64285.714285714283</v>
      </c>
      <c r="E9" s="5">
        <f t="shared" si="0"/>
        <v>64285.714285714283</v>
      </c>
      <c r="F9" s="5">
        <f t="shared" si="1"/>
        <v>-64285.714285714283</v>
      </c>
      <c r="G9" s="11">
        <f>B9*(SUM('Lineair overzicht'!$B$6,'Lineair overzicht'!$B$7))</f>
        <v>0</v>
      </c>
      <c r="H9" s="11">
        <f t="shared" si="2"/>
        <v>64285.714285714283</v>
      </c>
      <c r="I9" s="11">
        <f t="shared" si="3"/>
        <v>64285.714285714283</v>
      </c>
      <c r="J9" s="11">
        <f t="shared" si="4"/>
        <v>-64285.714285714283</v>
      </c>
      <c r="K9" s="9">
        <f>'Lineair overzicht'!$B$6+'Lineair overzicht'!$B$8</f>
        <v>3.2100000000000004E-2</v>
      </c>
      <c r="L9" s="93">
        <f t="shared" si="5"/>
        <v>0.77665076719871629</v>
      </c>
      <c r="M9" s="12">
        <f t="shared" si="6"/>
        <v>0</v>
      </c>
      <c r="N9" s="11">
        <f t="shared" si="7"/>
        <v>0</v>
      </c>
      <c r="O9" s="11">
        <f t="shared" si="8"/>
        <v>0</v>
      </c>
    </row>
    <row r="10" spans="1:15" x14ac:dyDescent="0.25">
      <c r="A10" s="3">
        <v>9</v>
      </c>
      <c r="B10" s="5">
        <f t="shared" si="9"/>
        <v>-64285.714285714283</v>
      </c>
      <c r="C10" s="5">
        <f>'Lineair overzicht'!$B$5*B10</f>
        <v>-1285.7142857142858</v>
      </c>
      <c r="D10" s="5">
        <f>'Lineair overzicht'!$B$3/'Lineair overzicht'!$B$4</f>
        <v>64285.714285714283</v>
      </c>
      <c r="E10" s="5">
        <f t="shared" si="0"/>
        <v>63000</v>
      </c>
      <c r="F10" s="5">
        <f t="shared" si="1"/>
        <v>-128571.42857142857</v>
      </c>
      <c r="G10" s="11">
        <f>B10*(SUM('Lineair overzicht'!$B$6,'Lineair overzicht'!$B$7))</f>
        <v>-2835</v>
      </c>
      <c r="H10" s="11">
        <f t="shared" si="2"/>
        <v>64285.714285714283</v>
      </c>
      <c r="I10" s="11">
        <f t="shared" si="3"/>
        <v>61450.714285714283</v>
      </c>
      <c r="J10" s="11">
        <f t="shared" si="4"/>
        <v>-128571.42857142857</v>
      </c>
      <c r="K10" s="9">
        <f>'Lineair overzicht'!$B$6+'Lineair overzicht'!$B$8</f>
        <v>3.2100000000000004E-2</v>
      </c>
      <c r="L10" s="93">
        <f t="shared" si="5"/>
        <v>0.75249565662117657</v>
      </c>
      <c r="M10" s="12">
        <f t="shared" si="6"/>
        <v>-967.49441565579855</v>
      </c>
      <c r="N10" s="11">
        <f t="shared" si="7"/>
        <v>-2133.3251865210354</v>
      </c>
      <c r="O10" s="11">
        <f t="shared" si="8"/>
        <v>-1165.8307708652369</v>
      </c>
    </row>
    <row r="11" spans="1:15" x14ac:dyDescent="0.25">
      <c r="A11" s="3">
        <v>10</v>
      </c>
      <c r="B11" s="5">
        <f t="shared" si="9"/>
        <v>-128571.42857142857</v>
      </c>
      <c r="C11" s="5">
        <f>'Lineair overzicht'!$B$5*B11</f>
        <v>-2571.4285714285716</v>
      </c>
      <c r="D11" s="5">
        <f>'Lineair overzicht'!$B$3/'Lineair overzicht'!$B$4</f>
        <v>64285.714285714283</v>
      </c>
      <c r="E11" s="5">
        <f t="shared" si="0"/>
        <v>61714.28571428571</v>
      </c>
      <c r="F11" s="5">
        <f t="shared" si="1"/>
        <v>-192857.14285714284</v>
      </c>
      <c r="G11" s="11">
        <f>B11*(SUM('Lineair overzicht'!$B$6,'Lineair overzicht'!$B$7))</f>
        <v>-5670</v>
      </c>
      <c r="H11" s="11">
        <f t="shared" si="2"/>
        <v>64285.714285714283</v>
      </c>
      <c r="I11" s="11">
        <f t="shared" si="3"/>
        <v>58615.714285714283</v>
      </c>
      <c r="J11" s="11">
        <f t="shared" si="4"/>
        <v>-192857.14285714284</v>
      </c>
      <c r="K11" s="9">
        <f>'Lineair overzicht'!$B$6+'Lineair overzicht'!$B$8</f>
        <v>3.2100000000000004E-2</v>
      </c>
      <c r="L11" s="93">
        <f t="shared" si="5"/>
        <v>0.72909180953509978</v>
      </c>
      <c r="M11" s="12">
        <f t="shared" si="6"/>
        <v>-1874.8075102331138</v>
      </c>
      <c r="N11" s="11">
        <f t="shared" si="7"/>
        <v>-4133.9505600640159</v>
      </c>
      <c r="O11" s="11">
        <f t="shared" si="8"/>
        <v>-2259.1430498309019</v>
      </c>
    </row>
    <row r="12" spans="1:15" x14ac:dyDescent="0.25">
      <c r="A12" s="3">
        <v>11</v>
      </c>
      <c r="B12" s="5">
        <f t="shared" si="9"/>
        <v>-192857.14285714284</v>
      </c>
      <c r="C12" s="5">
        <f>'Lineair overzicht'!$B$5*B12</f>
        <v>-3857.1428571428569</v>
      </c>
      <c r="D12" s="5">
        <f>'Lineair overzicht'!$B$3/'Lineair overzicht'!$B$4</f>
        <v>64285.714285714283</v>
      </c>
      <c r="E12" s="5">
        <f t="shared" si="0"/>
        <v>60428.571428571428</v>
      </c>
      <c r="F12" s="5">
        <f t="shared" si="1"/>
        <v>-257142.85714285713</v>
      </c>
      <c r="G12" s="11">
        <f>B12*(SUM('Lineair overzicht'!$B$6,'Lineair overzicht'!$B$7))</f>
        <v>-8505</v>
      </c>
      <c r="H12" s="11">
        <f t="shared" si="2"/>
        <v>64285.714285714283</v>
      </c>
      <c r="I12" s="11">
        <f t="shared" si="3"/>
        <v>55780.714285714283</v>
      </c>
      <c r="J12" s="11">
        <f t="shared" si="4"/>
        <v>-257142.85714285713</v>
      </c>
      <c r="K12" s="9">
        <f>'Lineair overzicht'!$B$6+'Lineair overzicht'!$B$8</f>
        <v>3.2100000000000004E-2</v>
      </c>
      <c r="L12" s="93">
        <f t="shared" si="5"/>
        <v>0.70641586041575399</v>
      </c>
      <c r="M12" s="12">
        <f t="shared" si="6"/>
        <v>-2724.7468901750508</v>
      </c>
      <c r="N12" s="11">
        <f t="shared" si="7"/>
        <v>-6008.0668928359873</v>
      </c>
      <c r="O12" s="11">
        <f t="shared" si="8"/>
        <v>-3283.3200026609366</v>
      </c>
    </row>
    <row r="13" spans="1:15" x14ac:dyDescent="0.25">
      <c r="A13" s="3">
        <v>12</v>
      </c>
      <c r="B13" s="5">
        <f t="shared" si="9"/>
        <v>-257142.85714285713</v>
      </c>
      <c r="C13" s="5">
        <f>'Lineair overzicht'!$B$5*B13</f>
        <v>-5142.8571428571431</v>
      </c>
      <c r="D13" s="5">
        <f>'Lineair overzicht'!$B$3/'Lineair overzicht'!$B$4</f>
        <v>64285.714285714283</v>
      </c>
      <c r="E13" s="5">
        <f t="shared" si="0"/>
        <v>59142.857142857138</v>
      </c>
      <c r="F13" s="5">
        <f t="shared" si="1"/>
        <v>-321428.57142857142</v>
      </c>
      <c r="G13" s="11">
        <f>B13*(SUM('Lineair overzicht'!$B$6,'Lineair overzicht'!$B$7))</f>
        <v>-11340</v>
      </c>
      <c r="H13" s="11">
        <f t="shared" si="2"/>
        <v>64285.714285714283</v>
      </c>
      <c r="I13" s="11">
        <f t="shared" si="3"/>
        <v>52945.714285714283</v>
      </c>
      <c r="J13" s="11">
        <f t="shared" si="4"/>
        <v>-321428.57142857142</v>
      </c>
      <c r="K13" s="9">
        <f>'Lineair overzicht'!$B$6+'Lineair overzicht'!$B$8</f>
        <v>3.2100000000000004E-2</v>
      </c>
      <c r="L13" s="93">
        <f t="shared" si="5"/>
        <v>0.68444517044448605</v>
      </c>
      <c r="M13" s="12">
        <f t="shared" si="6"/>
        <v>-3520.0037337145</v>
      </c>
      <c r="N13" s="11">
        <f t="shared" si="7"/>
        <v>-7761.6082328404718</v>
      </c>
      <c r="O13" s="11">
        <f t="shared" si="8"/>
        <v>-4241.6044991259714</v>
      </c>
    </row>
    <row r="14" spans="1:15" x14ac:dyDescent="0.25">
      <c r="A14" s="3">
        <v>13</v>
      </c>
      <c r="B14" s="5">
        <f t="shared" si="9"/>
        <v>-321428.57142857142</v>
      </c>
      <c r="C14" s="5">
        <f>'Lineair overzicht'!$B$5*B14</f>
        <v>-6428.5714285714284</v>
      </c>
      <c r="D14" s="5">
        <f>'Lineair overzicht'!$B$3/'Lineair overzicht'!$B$4</f>
        <v>64285.714285714283</v>
      </c>
      <c r="E14" s="5">
        <f t="shared" si="0"/>
        <v>57857.142857142855</v>
      </c>
      <c r="F14" s="5">
        <f t="shared" si="1"/>
        <v>-385714.28571428568</v>
      </c>
      <c r="G14" s="11">
        <f>B14*(SUM('Lineair overzicht'!$B$6,'Lineair overzicht'!$B$7))</f>
        <v>-14175</v>
      </c>
      <c r="H14" s="11">
        <f t="shared" si="2"/>
        <v>64285.714285714283</v>
      </c>
      <c r="I14" s="11">
        <f t="shared" si="3"/>
        <v>50110.714285714283</v>
      </c>
      <c r="J14" s="11">
        <f t="shared" si="4"/>
        <v>-385714.28571428568</v>
      </c>
      <c r="K14" s="9">
        <f>'Lineair overzicht'!$B$6+'Lineair overzicht'!$B$8</f>
        <v>3.2100000000000004E-2</v>
      </c>
      <c r="L14" s="93">
        <f t="shared" si="5"/>
        <v>0.66315780490697218</v>
      </c>
      <c r="M14" s="12">
        <f t="shared" si="6"/>
        <v>-4263.157317259107</v>
      </c>
      <c r="N14" s="11">
        <f t="shared" si="7"/>
        <v>-9400.2618845563302</v>
      </c>
      <c r="O14" s="11">
        <f t="shared" si="8"/>
        <v>-5137.1045672972232</v>
      </c>
    </row>
    <row r="15" spans="1:15" x14ac:dyDescent="0.25">
      <c r="A15" s="3">
        <v>14</v>
      </c>
      <c r="B15" s="5">
        <f t="shared" si="9"/>
        <v>-385714.28571428568</v>
      </c>
      <c r="C15" s="5">
        <f>'Lineair overzicht'!$B$5*B15</f>
        <v>-7714.2857142857138</v>
      </c>
      <c r="D15" s="5">
        <f>'Lineair overzicht'!$B$3/'Lineair overzicht'!$B$4</f>
        <v>64285.714285714283</v>
      </c>
      <c r="E15" s="5">
        <f t="shared" si="0"/>
        <v>56571.428571428565</v>
      </c>
      <c r="F15" s="5">
        <f t="shared" si="1"/>
        <v>-449999.99999999994</v>
      </c>
      <c r="G15" s="11">
        <f>B15*(SUM('Lineair overzicht'!$B$6,'Lineair overzicht'!$B$7))</f>
        <v>-17010</v>
      </c>
      <c r="H15" s="11">
        <f t="shared" si="2"/>
        <v>64285.714285714283</v>
      </c>
      <c r="I15" s="11">
        <f t="shared" si="3"/>
        <v>47275.714285714283</v>
      </c>
      <c r="J15" s="11">
        <f t="shared" si="4"/>
        <v>-449999.99999999994</v>
      </c>
      <c r="K15" s="9">
        <f>'Lineair overzicht'!$B$6+'Lineair overzicht'!$B$8</f>
        <v>3.2100000000000004E-2</v>
      </c>
      <c r="L15" s="93">
        <f t="shared" si="5"/>
        <v>0.64253251129442124</v>
      </c>
      <c r="M15" s="12">
        <f t="shared" si="6"/>
        <v>-4956.6793728426774</v>
      </c>
      <c r="N15" s="11">
        <f t="shared" si="7"/>
        <v>-10929.478017118105</v>
      </c>
      <c r="O15" s="11">
        <f t="shared" si="8"/>
        <v>-5972.7986442754273</v>
      </c>
    </row>
    <row r="16" spans="1:15" x14ac:dyDescent="0.25">
      <c r="A16" s="3">
        <v>15</v>
      </c>
      <c r="B16" s="5">
        <f t="shared" si="9"/>
        <v>-449999.99999999994</v>
      </c>
      <c r="C16" s="5">
        <f>'Lineair overzicht'!$B$5*B16</f>
        <v>-8999.9999999999982</v>
      </c>
      <c r="D16" s="5">
        <f>'Lineair overzicht'!$B$3/'Lineair overzicht'!$B$4</f>
        <v>64285.714285714283</v>
      </c>
      <c r="E16" s="5">
        <f t="shared" si="0"/>
        <v>55285.714285714283</v>
      </c>
      <c r="F16" s="5">
        <f t="shared" si="1"/>
        <v>-514285.7142857142</v>
      </c>
      <c r="G16" s="11">
        <f>B16*(SUM('Lineair overzicht'!$B$6,'Lineair overzicht'!$B$7))</f>
        <v>-19844.999999999996</v>
      </c>
      <c r="H16" s="11">
        <f t="shared" si="2"/>
        <v>64285.714285714283</v>
      </c>
      <c r="I16" s="11">
        <f t="shared" si="3"/>
        <v>44440.71428571429</v>
      </c>
      <c r="J16" s="11">
        <f t="shared" si="4"/>
        <v>-514285.7142857142</v>
      </c>
      <c r="K16" s="9">
        <f>'Lineair overzicht'!$B$6+'Lineair overzicht'!$B$8</f>
        <v>3.2100000000000004E-2</v>
      </c>
      <c r="L16" s="93">
        <f t="shared" si="5"/>
        <v>0.62254869808586499</v>
      </c>
      <c r="M16" s="12">
        <f t="shared" si="6"/>
        <v>-5602.9382827727841</v>
      </c>
      <c r="N16" s="11">
        <f t="shared" si="7"/>
        <v>-12354.478913513989</v>
      </c>
      <c r="O16" s="11">
        <f t="shared" si="8"/>
        <v>-6751.540630741205</v>
      </c>
    </row>
    <row r="17" spans="1:15" x14ac:dyDescent="0.25">
      <c r="A17" s="3">
        <v>16</v>
      </c>
      <c r="B17" s="5">
        <f t="shared" si="9"/>
        <v>-514285.7142857142</v>
      </c>
      <c r="C17" s="5">
        <f>'Lineair overzicht'!$B$5*B17</f>
        <v>-10285.714285714284</v>
      </c>
      <c r="D17" s="5">
        <f>'Lineair overzicht'!$B$3/'Lineair overzicht'!$B$4</f>
        <v>64285.714285714283</v>
      </c>
      <c r="E17" s="5">
        <f t="shared" si="0"/>
        <v>54000</v>
      </c>
      <c r="F17" s="5">
        <f t="shared" si="1"/>
        <v>-578571.42857142852</v>
      </c>
      <c r="G17" s="11">
        <f>B17*(SUM('Lineair overzicht'!$B$6,'Lineair overzicht'!$B$7))</f>
        <v>-22679.999999999996</v>
      </c>
      <c r="H17" s="11">
        <f t="shared" si="2"/>
        <v>64285.714285714283</v>
      </c>
      <c r="I17" s="11">
        <f t="shared" si="3"/>
        <v>41605.71428571429</v>
      </c>
      <c r="J17" s="11">
        <f t="shared" si="4"/>
        <v>-578571.42857142852</v>
      </c>
      <c r="K17" s="9">
        <f>'Lineair overzicht'!$B$6+'Lineair overzicht'!$B$8</f>
        <v>3.2100000000000004E-2</v>
      </c>
      <c r="L17" s="93">
        <f t="shared" si="5"/>
        <v>0.60318641419035446</v>
      </c>
      <c r="M17" s="12">
        <f t="shared" si="6"/>
        <v>-6204.2031173865025</v>
      </c>
      <c r="N17" s="11">
        <f t="shared" si="7"/>
        <v>-13680.267873837236</v>
      </c>
      <c r="O17" s="11">
        <f t="shared" si="8"/>
        <v>-7476.0647564507335</v>
      </c>
    </row>
    <row r="18" spans="1:15" x14ac:dyDescent="0.25">
      <c r="A18" s="3">
        <v>17</v>
      </c>
      <c r="B18" s="5">
        <f t="shared" si="9"/>
        <v>-578571.42857142852</v>
      </c>
      <c r="C18" s="5">
        <f>'Lineair overzicht'!$B$5*B18</f>
        <v>-11571.428571428571</v>
      </c>
      <c r="D18" s="5">
        <f>'Lineair overzicht'!$B$3/'Lineair overzicht'!$B$4</f>
        <v>64285.714285714283</v>
      </c>
      <c r="E18" s="5">
        <f t="shared" si="0"/>
        <v>52714.28571428571</v>
      </c>
      <c r="F18" s="5">
        <f t="shared" si="1"/>
        <v>-642857.14285714284</v>
      </c>
      <c r="G18" s="11">
        <f>B18*(SUM('Lineair overzicht'!$B$6,'Lineair overzicht'!$B$7))</f>
        <v>-25514.999999999996</v>
      </c>
      <c r="H18" s="11">
        <f t="shared" si="2"/>
        <v>64285.714285714283</v>
      </c>
      <c r="I18" s="11">
        <f t="shared" si="3"/>
        <v>38770.71428571429</v>
      </c>
      <c r="J18" s="11">
        <f t="shared" si="4"/>
        <v>-642857.14285714284</v>
      </c>
      <c r="K18" s="9">
        <f>'Lineair overzicht'!$B$6+'Lineair overzicht'!$B$8</f>
        <v>3.2100000000000004E-2</v>
      </c>
      <c r="L18" s="93">
        <f t="shared" si="5"/>
        <v>0.58442632902853831</v>
      </c>
      <c r="M18" s="12">
        <f t="shared" si="6"/>
        <v>-6762.6475216159424</v>
      </c>
      <c r="N18" s="11">
        <f t="shared" si="7"/>
        <v>-14911.637785163153</v>
      </c>
      <c r="O18" s="11">
        <f t="shared" si="8"/>
        <v>-8148.9902635472108</v>
      </c>
    </row>
    <row r="19" spans="1:15" x14ac:dyDescent="0.25">
      <c r="A19" s="3">
        <v>18</v>
      </c>
      <c r="B19" s="5">
        <f t="shared" si="9"/>
        <v>-642857.14285714284</v>
      </c>
      <c r="C19" s="5">
        <f>'Lineair overzicht'!$B$5*B19</f>
        <v>-12857.142857142857</v>
      </c>
      <c r="D19" s="5">
        <f>'Lineair overzicht'!$B$3/'Lineair overzicht'!$B$4</f>
        <v>64285.714285714283</v>
      </c>
      <c r="E19" s="5">
        <f t="shared" si="0"/>
        <v>51428.571428571428</v>
      </c>
      <c r="F19" s="5">
        <f t="shared" si="1"/>
        <v>-707142.85714285716</v>
      </c>
      <c r="G19" s="11">
        <f>B19*(SUM('Lineair overzicht'!$B$6,'Lineair overzicht'!$B$7))</f>
        <v>-28350</v>
      </c>
      <c r="H19" s="11">
        <f t="shared" si="2"/>
        <v>64285.714285714283</v>
      </c>
      <c r="I19" s="11">
        <f t="shared" si="3"/>
        <v>35935.714285714283</v>
      </c>
      <c r="J19" s="11">
        <f t="shared" si="4"/>
        <v>-707142.85714285716</v>
      </c>
      <c r="K19" s="9">
        <f>'Lineair overzicht'!$B$6+'Lineair overzicht'!$B$8</f>
        <v>3.2100000000000004E-2</v>
      </c>
      <c r="L19" s="93">
        <f t="shared" si="5"/>
        <v>0.56624971323373552</v>
      </c>
      <c r="M19" s="12">
        <f t="shared" si="6"/>
        <v>-7280.3534558623132</v>
      </c>
      <c r="N19" s="11">
        <f t="shared" si="7"/>
        <v>-16053.179370176402</v>
      </c>
      <c r="O19" s="11">
        <f t="shared" si="8"/>
        <v>-8772.8259143140895</v>
      </c>
    </row>
    <row r="20" spans="1:15" x14ac:dyDescent="0.25">
      <c r="A20" s="3">
        <v>19</v>
      </c>
      <c r="B20" s="5">
        <f t="shared" si="9"/>
        <v>-707142.85714285716</v>
      </c>
      <c r="C20" s="5">
        <f>'Lineair overzicht'!$B$5*B20</f>
        <v>-14142.857142857143</v>
      </c>
      <c r="D20" s="5">
        <f>'Lineair overzicht'!$B$3/'Lineair overzicht'!$B$4</f>
        <v>64285.714285714283</v>
      </c>
      <c r="E20" s="5">
        <f t="shared" si="0"/>
        <v>50142.857142857138</v>
      </c>
      <c r="F20" s="5">
        <f t="shared" si="1"/>
        <v>-771428.57142857148</v>
      </c>
      <c r="G20" s="11">
        <f>B20*(SUM('Lineair overzicht'!$B$6,'Lineair overzicht'!$B$7))</f>
        <v>-31185</v>
      </c>
      <c r="H20" s="11">
        <f t="shared" si="2"/>
        <v>64285.714285714283</v>
      </c>
      <c r="I20" s="11">
        <f t="shared" si="3"/>
        <v>33100.714285714283</v>
      </c>
      <c r="J20" s="11">
        <f t="shared" si="4"/>
        <v>-771428.57142857148</v>
      </c>
      <c r="K20" s="9">
        <f>'Lineair overzicht'!$B$6+'Lineair overzicht'!$B$8</f>
        <v>3.2100000000000004E-2</v>
      </c>
      <c r="L20" s="93">
        <f t="shared" si="5"/>
        <v>0.54863841995323659</v>
      </c>
      <c r="M20" s="12">
        <f t="shared" si="6"/>
        <v>-7759.3147964814889</v>
      </c>
      <c r="N20" s="11">
        <f t="shared" si="7"/>
        <v>-17109.289126241682</v>
      </c>
      <c r="O20" s="11">
        <f t="shared" si="8"/>
        <v>-9349.9743297601926</v>
      </c>
    </row>
    <row r="21" spans="1:15" x14ac:dyDescent="0.25">
      <c r="A21" s="3">
        <v>20</v>
      </c>
      <c r="B21" s="5">
        <f t="shared" si="9"/>
        <v>-771428.57142857148</v>
      </c>
      <c r="C21" s="5">
        <f>'Lineair overzicht'!$B$5*B21</f>
        <v>-15428.571428571429</v>
      </c>
      <c r="D21" s="5">
        <f>'Lineair overzicht'!$B$3/'Lineair overzicht'!$B$4</f>
        <v>64285.714285714283</v>
      </c>
      <c r="E21" s="5">
        <f t="shared" si="0"/>
        <v>48857.142857142855</v>
      </c>
      <c r="F21" s="5">
        <f t="shared" si="1"/>
        <v>-835714.2857142858</v>
      </c>
      <c r="G21" s="11">
        <f>B21*(SUM('Lineair overzicht'!$B$6,'Lineair overzicht'!$B$7))</f>
        <v>-34020</v>
      </c>
      <c r="H21" s="11">
        <f t="shared" si="2"/>
        <v>64285.714285714283</v>
      </c>
      <c r="I21" s="11">
        <f t="shared" si="3"/>
        <v>30265.714285714283</v>
      </c>
      <c r="J21" s="11">
        <f t="shared" si="4"/>
        <v>-835714.2857142858</v>
      </c>
      <c r="K21" s="9">
        <f>'Lineair overzicht'!$B$6+'Lineair overzicht'!$B$8</f>
        <v>3.2100000000000004E-2</v>
      </c>
      <c r="L21" s="93">
        <f t="shared" si="5"/>
        <v>0.53157486673116605</v>
      </c>
      <c r="M21" s="12">
        <f t="shared" si="6"/>
        <v>-8201.440800995133</v>
      </c>
      <c r="N21" s="11">
        <f t="shared" si="7"/>
        <v>-18084.176966194271</v>
      </c>
      <c r="O21" s="11">
        <f t="shared" si="8"/>
        <v>-9882.7361651991378</v>
      </c>
    </row>
    <row r="22" spans="1:15" x14ac:dyDescent="0.25">
      <c r="A22" s="3">
        <v>21</v>
      </c>
      <c r="B22" s="5">
        <f t="shared" si="9"/>
        <v>-835714.2857142858</v>
      </c>
      <c r="C22" s="5">
        <f>'Lineair overzicht'!$B$5*B22</f>
        <v>-16714.285714285717</v>
      </c>
      <c r="D22" s="5">
        <f>'Lineair overzicht'!$B$3/'Lineair overzicht'!$B$4</f>
        <v>64285.714285714283</v>
      </c>
      <c r="E22" s="5">
        <f t="shared" si="0"/>
        <v>47571.428571428565</v>
      </c>
      <c r="F22" s="5">
        <f t="shared" si="1"/>
        <v>-900000.00000000012</v>
      </c>
      <c r="G22" s="11">
        <f>B22*(SUM('Lineair overzicht'!$B$6,'Lineair overzicht'!$B$7))</f>
        <v>-36855.000000000007</v>
      </c>
      <c r="H22" s="11">
        <f t="shared" si="2"/>
        <v>64285.714285714283</v>
      </c>
      <c r="I22" s="11">
        <f t="shared" si="3"/>
        <v>27430.714285714275</v>
      </c>
      <c r="J22" s="11">
        <f t="shared" si="4"/>
        <v>-900000.00000000012</v>
      </c>
      <c r="K22" s="9">
        <f>'Lineair overzicht'!$B$6+'Lineair overzicht'!$B$8</f>
        <v>3.2100000000000004E-2</v>
      </c>
      <c r="L22" s="93">
        <f t="shared" si="5"/>
        <v>0.51504201795481652</v>
      </c>
      <c r="M22" s="12">
        <f t="shared" si="6"/>
        <v>-8608.5594429590783</v>
      </c>
      <c r="N22" s="11">
        <f t="shared" si="7"/>
        <v>-18981.873571724765</v>
      </c>
      <c r="O22" s="11">
        <f t="shared" si="8"/>
        <v>-10373.314128765687</v>
      </c>
    </row>
    <row r="23" spans="1:15" x14ac:dyDescent="0.25">
      <c r="A23" s="3">
        <v>22</v>
      </c>
      <c r="B23" s="5">
        <f t="shared" si="9"/>
        <v>-900000.00000000012</v>
      </c>
      <c r="C23" s="5">
        <f>'Lineair overzicht'!$B$5*B23</f>
        <v>-18000.000000000004</v>
      </c>
      <c r="D23" s="5">
        <f>'Lineair overzicht'!$B$3/'Lineair overzicht'!$B$4</f>
        <v>64285.714285714283</v>
      </c>
      <c r="E23" s="5">
        <f t="shared" si="0"/>
        <v>46285.714285714275</v>
      </c>
      <c r="F23" s="5">
        <f t="shared" si="1"/>
        <v>-964285.71428571444</v>
      </c>
      <c r="G23" s="11">
        <f>B23*(SUM('Lineair overzicht'!$B$6,'Lineair overzicht'!$B$7))</f>
        <v>-39690.000000000007</v>
      </c>
      <c r="H23" s="11">
        <f t="shared" si="2"/>
        <v>64285.714285714283</v>
      </c>
      <c r="I23" s="11">
        <f t="shared" si="3"/>
        <v>24595.714285714275</v>
      </c>
      <c r="J23" s="11">
        <f t="shared" si="4"/>
        <v>-964285.71428571444</v>
      </c>
      <c r="K23" s="9">
        <f>'Lineair overzicht'!$B$6+'Lineair overzicht'!$B$8</f>
        <v>3.2100000000000004E-2</v>
      </c>
      <c r="L23" s="93">
        <f t="shared" si="5"/>
        <v>0.49902336784693002</v>
      </c>
      <c r="M23" s="12">
        <f t="shared" si="6"/>
        <v>-8982.4206212447425</v>
      </c>
      <c r="N23" s="11">
        <f t="shared" si="7"/>
        <v>-19806.237469844655</v>
      </c>
      <c r="O23" s="11">
        <f t="shared" si="8"/>
        <v>-10823.816848599912</v>
      </c>
    </row>
    <row r="24" spans="1:15" x14ac:dyDescent="0.25">
      <c r="A24" s="3">
        <v>23</v>
      </c>
      <c r="B24" s="5">
        <f t="shared" si="9"/>
        <v>-964285.71428571444</v>
      </c>
      <c r="C24" s="5">
        <f>'Lineair overzicht'!$B$5*B24</f>
        <v>-19285.71428571429</v>
      </c>
      <c r="D24" s="5">
        <f>'Lineair overzicht'!$B$3/'Lineair overzicht'!$B$4</f>
        <v>64285.714285714283</v>
      </c>
      <c r="E24" s="5">
        <f t="shared" si="0"/>
        <v>44999.999999999993</v>
      </c>
      <c r="F24" s="5">
        <f t="shared" si="1"/>
        <v>-1028571.4285714288</v>
      </c>
      <c r="G24" s="11">
        <f>B24*(SUM('Lineair overzicht'!$B$6,'Lineair overzicht'!$B$7))</f>
        <v>-42525.000000000007</v>
      </c>
      <c r="H24" s="11">
        <f t="shared" si="2"/>
        <v>64285.714285714283</v>
      </c>
      <c r="I24" s="11">
        <f t="shared" si="3"/>
        <v>21760.714285714275</v>
      </c>
      <c r="J24" s="11">
        <f t="shared" si="4"/>
        <v>-1028571.4285714288</v>
      </c>
      <c r="K24" s="9">
        <f>'Lineair overzicht'!$B$6+'Lineair overzicht'!$B$8</f>
        <v>3.2100000000000004E-2</v>
      </c>
      <c r="L24" s="93">
        <f t="shared" si="5"/>
        <v>0.48350292398694894</v>
      </c>
      <c r="M24" s="12">
        <f t="shared" si="6"/>
        <v>-9324.6992483197319</v>
      </c>
      <c r="N24" s="11">
        <f t="shared" si="7"/>
        <v>-20560.961842545006</v>
      </c>
      <c r="O24" s="11">
        <f t="shared" si="8"/>
        <v>-11236.262594225274</v>
      </c>
    </row>
    <row r="25" spans="1:15" x14ac:dyDescent="0.25">
      <c r="A25" s="3">
        <v>24</v>
      </c>
      <c r="B25" s="5">
        <f t="shared" si="9"/>
        <v>-1028571.4285714288</v>
      </c>
      <c r="C25" s="5">
        <f>'Lineair overzicht'!$B$5*B25</f>
        <v>-20571.428571428576</v>
      </c>
      <c r="D25" s="5">
        <f>'Lineair overzicht'!$B$3/'Lineair overzicht'!$B$4</f>
        <v>64285.714285714283</v>
      </c>
      <c r="E25" s="5">
        <f t="shared" si="0"/>
        <v>43714.28571428571</v>
      </c>
      <c r="F25" s="5">
        <f t="shared" si="1"/>
        <v>-1092857.142857143</v>
      </c>
      <c r="G25" s="11">
        <f>B25*(SUM('Lineair overzicht'!$B$6,'Lineair overzicht'!$B$7))</f>
        <v>-45360.000000000007</v>
      </c>
      <c r="H25" s="11">
        <f t="shared" si="2"/>
        <v>64285.714285714283</v>
      </c>
      <c r="I25" s="11">
        <f t="shared" si="3"/>
        <v>18925.714285714275</v>
      </c>
      <c r="J25" s="11">
        <f t="shared" si="4"/>
        <v>-1092857.142857143</v>
      </c>
      <c r="K25" s="9">
        <f>'Lineair overzicht'!$B$6+'Lineair overzicht'!$B$8</f>
        <v>3.2100000000000004E-2</v>
      </c>
      <c r="L25" s="93">
        <f t="shared" si="5"/>
        <v>0.46846519134478148</v>
      </c>
      <c r="M25" s="12">
        <f t="shared" si="6"/>
        <v>-9636.9982219497924</v>
      </c>
      <c r="N25" s="11">
        <f t="shared" si="7"/>
        <v>-21249.581079399293</v>
      </c>
      <c r="O25" s="11">
        <f t="shared" si="8"/>
        <v>-11612.582857449501</v>
      </c>
    </row>
    <row r="26" spans="1:15" x14ac:dyDescent="0.25">
      <c r="A26" s="3">
        <v>25</v>
      </c>
      <c r="B26" s="5">
        <f t="shared" si="9"/>
        <v>-1092857.142857143</v>
      </c>
      <c r="C26" s="5">
        <f>'Lineair overzicht'!$B$5*B26</f>
        <v>-21857.142857142859</v>
      </c>
      <c r="D26" s="5">
        <f>'Lineair overzicht'!$B$3/'Lineair overzicht'!$B$4</f>
        <v>64285.714285714283</v>
      </c>
      <c r="E26" s="5">
        <f t="shared" si="0"/>
        <v>42428.57142857142</v>
      </c>
      <c r="F26" s="5">
        <f t="shared" si="1"/>
        <v>-1157142.8571428573</v>
      </c>
      <c r="G26" s="11">
        <f>B26*(SUM('Lineair overzicht'!$B$6,'Lineair overzicht'!$B$7))</f>
        <v>-48195.000000000007</v>
      </c>
      <c r="H26" s="11">
        <f t="shared" si="2"/>
        <v>64285.714285714283</v>
      </c>
      <c r="I26" s="11">
        <f t="shared" si="3"/>
        <v>16090.714285714275</v>
      </c>
      <c r="J26" s="11">
        <f t="shared" si="4"/>
        <v>-1157142.8571428573</v>
      </c>
      <c r="K26" s="9">
        <f>'Lineair overzicht'!$B$6+'Lineair overzicht'!$B$8</f>
        <v>3.2100000000000004E-2</v>
      </c>
      <c r="L26" s="93">
        <f t="shared" si="5"/>
        <v>0.45389515681114379</v>
      </c>
      <c r="M26" s="12">
        <f t="shared" si="6"/>
        <v>-9920.8512845864298</v>
      </c>
      <c r="N26" s="11">
        <f t="shared" si="7"/>
        <v>-21875.477082513076</v>
      </c>
      <c r="O26" s="11">
        <f t="shared" si="8"/>
        <v>-11954.625797926647</v>
      </c>
    </row>
    <row r="27" spans="1:15" x14ac:dyDescent="0.25">
      <c r="A27" s="3">
        <v>26</v>
      </c>
      <c r="B27" s="5">
        <f t="shared" si="9"/>
        <v>-1157142.8571428573</v>
      </c>
      <c r="C27" s="5">
        <f>'Lineair overzicht'!$B$5*B27</f>
        <v>-23142.857142857145</v>
      </c>
      <c r="D27" s="5">
        <f>'Lineair overzicht'!$B$3/'Lineair overzicht'!$B$4</f>
        <v>64285.714285714283</v>
      </c>
      <c r="E27" s="5">
        <f t="shared" si="0"/>
        <v>41142.857142857138</v>
      </c>
      <c r="F27" s="5">
        <f t="shared" si="1"/>
        <v>-1221428.5714285716</v>
      </c>
      <c r="G27" s="11">
        <f>B27*(SUM('Lineair overzicht'!$B$6,'Lineair overzicht'!$B$7))</f>
        <v>-51030.000000000007</v>
      </c>
      <c r="H27" s="11">
        <f t="shared" si="2"/>
        <v>64285.714285714283</v>
      </c>
      <c r="I27" s="11">
        <f t="shared" si="3"/>
        <v>13255.714285714275</v>
      </c>
      <c r="J27" s="11">
        <f t="shared" si="4"/>
        <v>-1221428.5714285716</v>
      </c>
      <c r="K27" s="9">
        <f>'Lineair overzicht'!$B$6+'Lineair overzicht'!$B$8</f>
        <v>3.2100000000000004E-2</v>
      </c>
      <c r="L27" s="93">
        <f t="shared" si="5"/>
        <v>0.4397782742090337</v>
      </c>
      <c r="M27" s="12">
        <f t="shared" si="6"/>
        <v>-10177.725774551924</v>
      </c>
      <c r="N27" s="11">
        <f t="shared" si="7"/>
        <v>-22441.885332886992</v>
      </c>
      <c r="O27" s="11">
        <f t="shared" si="8"/>
        <v>-12264.159558335068</v>
      </c>
    </row>
    <row r="28" spans="1:15" x14ac:dyDescent="0.25">
      <c r="A28" s="3">
        <v>27</v>
      </c>
      <c r="B28" s="5">
        <f t="shared" si="9"/>
        <v>-1221428.5714285716</v>
      </c>
      <c r="C28" s="5">
        <f>'Lineair overzicht'!$B$5*B28</f>
        <v>-24428.571428571431</v>
      </c>
      <c r="D28" s="5">
        <f>'Lineair overzicht'!$B$3/'Lineair overzicht'!$B$4</f>
        <v>64285.714285714283</v>
      </c>
      <c r="E28" s="5">
        <f t="shared" si="0"/>
        <v>39857.142857142855</v>
      </c>
      <c r="F28" s="5">
        <f t="shared" si="1"/>
        <v>-1285714.2857142859</v>
      </c>
      <c r="G28" s="11">
        <f>B28*(SUM('Lineair overzicht'!$B$6,'Lineair overzicht'!$B$7))</f>
        <v>-53865.000000000007</v>
      </c>
      <c r="H28" s="11">
        <f t="shared" si="2"/>
        <v>64285.714285714283</v>
      </c>
      <c r="I28" s="11">
        <f t="shared" si="3"/>
        <v>10420.714285714275</v>
      </c>
      <c r="J28" s="11">
        <f t="shared" si="4"/>
        <v>-1285714.2857142859</v>
      </c>
      <c r="K28" s="9">
        <f>'Lineair overzicht'!$B$6+'Lineair overzicht'!$B$8</f>
        <v>3.2100000000000004E-2</v>
      </c>
      <c r="L28" s="93">
        <f t="shared" si="5"/>
        <v>0.42610044977137262</v>
      </c>
      <c r="M28" s="12">
        <f t="shared" si="6"/>
        <v>-10409.02527298639</v>
      </c>
      <c r="N28" s="11">
        <f t="shared" si="7"/>
        <v>-22951.90072693499</v>
      </c>
      <c r="O28" s="11">
        <f t="shared" si="8"/>
        <v>-12542.8754539486</v>
      </c>
    </row>
    <row r="29" spans="1:15" x14ac:dyDescent="0.25">
      <c r="A29" s="3">
        <v>28</v>
      </c>
      <c r="B29" s="5">
        <f t="shared" si="9"/>
        <v>-1285714.2857142859</v>
      </c>
      <c r="C29" s="5">
        <f>'Lineair overzicht'!$B$5*B29</f>
        <v>-25714.285714285717</v>
      </c>
      <c r="D29" s="5">
        <f>'Lineair overzicht'!$B$3/'Lineair overzicht'!$B$4</f>
        <v>64285.714285714283</v>
      </c>
      <c r="E29" s="5">
        <f t="shared" si="0"/>
        <v>38571.428571428565</v>
      </c>
      <c r="F29" s="5">
        <f t="shared" si="1"/>
        <v>-1350000.0000000002</v>
      </c>
      <c r="G29" s="11">
        <f>B29*(SUM('Lineair overzicht'!$B$6,'Lineair overzicht'!$B$7))</f>
        <v>-56700.000000000007</v>
      </c>
      <c r="H29" s="11">
        <f t="shared" si="2"/>
        <v>64285.714285714283</v>
      </c>
      <c r="I29" s="11">
        <f t="shared" si="3"/>
        <v>7585.7142857142753</v>
      </c>
      <c r="J29" s="11">
        <f t="shared" si="4"/>
        <v>-1350000.0000000002</v>
      </c>
      <c r="K29" s="9">
        <f>'Lineair overzicht'!$B$6+'Lineair overzicht'!$B$8</f>
        <v>3.2100000000000004E-2</v>
      </c>
      <c r="L29" s="93">
        <f t="shared" si="5"/>
        <v>0.41284802807031556</v>
      </c>
      <c r="M29" s="12">
        <f t="shared" si="6"/>
        <v>-10616.092150379545</v>
      </c>
      <c r="N29" s="11">
        <f t="shared" si="7"/>
        <v>-23408.483191586896</v>
      </c>
      <c r="O29" s="11">
        <f t="shared" si="8"/>
        <v>-12792.391041207351</v>
      </c>
    </row>
    <row r="30" spans="1:15" x14ac:dyDescent="0.25">
      <c r="A30" s="3">
        <v>29</v>
      </c>
      <c r="B30" s="5">
        <f t="shared" si="9"/>
        <v>-1350000.0000000002</v>
      </c>
      <c r="C30" s="5">
        <f>'Lineair overzicht'!$B$5*B30</f>
        <v>-27000.000000000004</v>
      </c>
      <c r="D30" s="5">
        <f>'Lineair overzicht'!$B$3/'Lineair overzicht'!$B$4</f>
        <v>64285.714285714283</v>
      </c>
      <c r="E30" s="5">
        <f t="shared" si="0"/>
        <v>37285.714285714275</v>
      </c>
      <c r="F30" s="5">
        <f t="shared" si="1"/>
        <v>-1414285.7142857146</v>
      </c>
      <c r="G30" s="11">
        <f>B30*(SUM('Lineair overzicht'!$B$6,'Lineair overzicht'!$B$7))</f>
        <v>-59535.000000000007</v>
      </c>
      <c r="H30" s="11">
        <f t="shared" si="2"/>
        <v>64285.714285714283</v>
      </c>
      <c r="I30" s="11">
        <f t="shared" si="3"/>
        <v>4750.7142857142753</v>
      </c>
      <c r="J30" s="11">
        <f t="shared" si="4"/>
        <v>-1414285.7142857146</v>
      </c>
      <c r="K30" s="9">
        <f>'Lineair overzicht'!$B$6+'Lineair overzicht'!$B$8</f>
        <v>3.2100000000000004E-2</v>
      </c>
      <c r="L30" s="93">
        <f t="shared" si="5"/>
        <v>0.40000777838418322</v>
      </c>
      <c r="M30" s="12">
        <f t="shared" si="6"/>
        <v>-10800.210016372948</v>
      </c>
      <c r="N30" s="11">
        <f t="shared" si="7"/>
        <v>-23814.463086102351</v>
      </c>
      <c r="O30" s="11">
        <f t="shared" si="8"/>
        <v>-13014.253069729402</v>
      </c>
    </row>
    <row r="31" spans="1:15" x14ac:dyDescent="0.25">
      <c r="A31" s="3">
        <v>30</v>
      </c>
      <c r="B31" s="5">
        <f t="shared" si="9"/>
        <v>-1414285.7142857146</v>
      </c>
      <c r="C31" s="5">
        <f>'Lineair overzicht'!$B$5*B31</f>
        <v>-28285.71428571429</v>
      </c>
      <c r="D31" s="5">
        <f>'Lineair overzicht'!$B$3/'Lineair overzicht'!$B$4</f>
        <v>64285.714285714283</v>
      </c>
      <c r="E31" s="5">
        <f t="shared" si="0"/>
        <v>35999.999999999993</v>
      </c>
      <c r="F31" s="5">
        <f t="shared" si="1"/>
        <v>-1478571.4285714289</v>
      </c>
      <c r="G31" s="11">
        <f>B31*(SUM('Lineair overzicht'!$B$6,'Lineair overzicht'!$B$7))</f>
        <v>-62370.000000000015</v>
      </c>
      <c r="H31" s="11">
        <f t="shared" si="2"/>
        <v>64285.714285714283</v>
      </c>
      <c r="I31" s="11">
        <f t="shared" si="3"/>
        <v>1915.714285714268</v>
      </c>
      <c r="J31" s="11">
        <f>B31-H31</f>
        <v>-1478571.4285714289</v>
      </c>
      <c r="K31" s="9">
        <f>'Lineair overzicht'!$B$6+'Lineair overzicht'!$B$8</f>
        <v>3.2100000000000004E-2</v>
      </c>
      <c r="L31" s="93">
        <f t="shared" si="5"/>
        <v>0.3875668814884054</v>
      </c>
      <c r="M31" s="12">
        <f t="shared" si="6"/>
        <v>-10962.606076386326</v>
      </c>
      <c r="N31" s="11">
        <f t="shared" si="7"/>
        <v>-24172.546398431852</v>
      </c>
      <c r="O31" s="11">
        <f t="shared" si="8"/>
        <v>-13209.940322045526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7829AE013DFE4DBA01E0EEB45423C1" ma:contentTypeVersion="6" ma:contentTypeDescription="Een nieuw document maken." ma:contentTypeScope="" ma:versionID="62b138ed414691084386684b7bbd8d03">
  <xsd:schema xmlns:xsd="http://www.w3.org/2001/XMLSchema" xmlns:xs="http://www.w3.org/2001/XMLSchema" xmlns:p="http://schemas.microsoft.com/office/2006/metadata/properties" xmlns:ns2="66822218-ad99-4048-8b72-527343db8c77" xmlns:ns3="54b36cfe-b1c4-4f9b-a8e4-6af26b1c2e37" targetNamespace="http://schemas.microsoft.com/office/2006/metadata/properties" ma:root="true" ma:fieldsID="0ccf0456970eb1330b3ed86e4728a2d8" ns2:_="" ns3:_="">
    <xsd:import namespace="66822218-ad99-4048-8b72-527343db8c77"/>
    <xsd:import namespace="54b36cfe-b1c4-4f9b-a8e4-6af26b1c2e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822218-ad99-4048-8b72-527343db8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36cfe-b1c4-4f9b-a8e4-6af26b1c2e3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E128805-D10F-4649-B6C7-68E3BE0FE4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822218-ad99-4048-8b72-527343db8c77"/>
    <ds:schemaRef ds:uri="54b36cfe-b1c4-4f9b-a8e4-6af26b1c2e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225BE6-D78B-4FFA-B488-4E30D8D154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ADED98-C5BF-47E5-880B-4F4787C3A75C}">
  <ds:schemaRefs>
    <ds:schemaRef ds:uri="http://schemas.microsoft.com/office/infopath/2007/PartnerControls"/>
    <ds:schemaRef ds:uri="http://www.w3.org/XML/1998/namespace"/>
    <ds:schemaRef ds:uri="66822218-ad99-4048-8b72-527343db8c7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metadata/properties"/>
    <ds:schemaRef ds:uri="54b36cfe-b1c4-4f9b-a8e4-6af26b1c2e37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Uitleg en disclaimer</vt:lpstr>
      <vt:lpstr>Annuiteit overzicht</vt:lpstr>
      <vt:lpstr>Lineair overzicht</vt:lpstr>
      <vt:lpstr>Annuiteit berekening</vt:lpstr>
      <vt:lpstr>Lineair berekening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Ton van der Valk</dc:creator>
  <cp:keywords/>
  <dc:description/>
  <cp:lastModifiedBy>Ton van der Valk</cp:lastModifiedBy>
  <cp:revision/>
  <dcterms:created xsi:type="dcterms:W3CDTF">2025-08-26T12:43:14Z</dcterms:created>
  <dcterms:modified xsi:type="dcterms:W3CDTF">2025-12-08T13:06:59Z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0x010100FF7829AE013DFE4DBA01E0EEB45423C1</vt:lpwstr>
  </property>
</Properties>
</file>